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807DA37C-929A-453E-8074-7A3A1743B1AC}"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Service areas" sheetId="29" state="hidden" r:id="rId5"/>
    <sheet name="Version" sheetId="2" r:id="rId6"/>
    <sheet name="Reference data" sheetId="30" state="hidden" r:id="rId7"/>
  </sheets>
  <definedNames>
    <definedName name="_xlnm._FilterDatabase" localSheetId="6" hidden="1">'Reference data'!$Z$9:$AW$174</definedName>
    <definedName name="_xlnm.Print_Area" localSheetId="2">Calculation!$A$1:$U$61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5" i="12" l="1"/>
  <c r="T34" i="12"/>
  <c r="T33" i="12"/>
  <c r="T32" i="12"/>
  <c r="T31" i="12"/>
  <c r="T24" i="12"/>
  <c r="T23" i="12"/>
  <c r="T22" i="12"/>
  <c r="T21" i="12"/>
  <c r="F28" i="30"/>
  <c r="M3" i="12" l="1"/>
  <c r="AA40" i="12"/>
  <c r="K3" i="12" l="1"/>
  <c r="AV13" i="30"/>
  <c r="AV12" i="30"/>
  <c r="AV14" i="30"/>
  <c r="AV15" i="30"/>
  <c r="AW15" i="30" s="1"/>
  <c r="AV16" i="30"/>
  <c r="AW16" i="30" s="1"/>
  <c r="AV17" i="30"/>
  <c r="AV18" i="30"/>
  <c r="AV19" i="30"/>
  <c r="AV26" i="30"/>
  <c r="AW26" i="30" s="1"/>
  <c r="AV27" i="30"/>
  <c r="AW27" i="30" s="1"/>
  <c r="AV28" i="30"/>
  <c r="AW28" i="30" s="1"/>
  <c r="AV29" i="30"/>
  <c r="AW29" i="30" s="1"/>
  <c r="AV30" i="30"/>
  <c r="AV31" i="30"/>
  <c r="AV32" i="30"/>
  <c r="AV33" i="30"/>
  <c r="AW33" i="30" s="1"/>
  <c r="AV34" i="30"/>
  <c r="AW34" i="30" s="1"/>
  <c r="AV35" i="30"/>
  <c r="AW35" i="30" s="1"/>
  <c r="AV36" i="30"/>
  <c r="AW36" i="30" s="1"/>
  <c r="AV37" i="30"/>
  <c r="AW37" i="30" s="1"/>
  <c r="AV38" i="30"/>
  <c r="AW38" i="30" s="1"/>
  <c r="AV39" i="30"/>
  <c r="AW39" i="30" s="1"/>
  <c r="AV40" i="30"/>
  <c r="AW40" i="30" s="1"/>
  <c r="AV41" i="30"/>
  <c r="AW41" i="30" s="1"/>
  <c r="AV42" i="30"/>
  <c r="AV43" i="30"/>
  <c r="AV44" i="30"/>
  <c r="AV45" i="30"/>
  <c r="AW45" i="30" s="1"/>
  <c r="AV46" i="30"/>
  <c r="AV47" i="30"/>
  <c r="AW47" i="30" s="1"/>
  <c r="AV48" i="30"/>
  <c r="AV49" i="30"/>
  <c r="AW49" i="30" s="1"/>
  <c r="AV50" i="30"/>
  <c r="AW50" i="30" s="1"/>
  <c r="AV51" i="30"/>
  <c r="AW51" i="30" s="1"/>
  <c r="AV52" i="30"/>
  <c r="AW52" i="30" s="1"/>
  <c r="AV53" i="30"/>
  <c r="AW53" i="30" s="1"/>
  <c r="AV54" i="30"/>
  <c r="AV55" i="30"/>
  <c r="AV56" i="30"/>
  <c r="AV57" i="30"/>
  <c r="AW57" i="30" s="1"/>
  <c r="AV58" i="30"/>
  <c r="AW58" i="30" s="1"/>
  <c r="AV59" i="30"/>
  <c r="AW59" i="30" s="1"/>
  <c r="AV60" i="30"/>
  <c r="AW60" i="30" s="1"/>
  <c r="AV61" i="30"/>
  <c r="AV62" i="30"/>
  <c r="AW62" i="30" s="1"/>
  <c r="AV63" i="30"/>
  <c r="AW63" i="30" s="1"/>
  <c r="AV64" i="30"/>
  <c r="AW64" i="30" s="1"/>
  <c r="AV65" i="30"/>
  <c r="AW65" i="30" s="1"/>
  <c r="AV66" i="30"/>
  <c r="AW66" i="30" s="1"/>
  <c r="AV67" i="30"/>
  <c r="AV68" i="30"/>
  <c r="AV69" i="30"/>
  <c r="AW69" i="30" s="1"/>
  <c r="AV70" i="30"/>
  <c r="AV71" i="30"/>
  <c r="AW71" i="30" s="1"/>
  <c r="AV72" i="30"/>
  <c r="AW72" i="30" s="1"/>
  <c r="AV73" i="30"/>
  <c r="AV74" i="30"/>
  <c r="AW74" i="30" s="1"/>
  <c r="AV75" i="30"/>
  <c r="AW75" i="30" s="1"/>
  <c r="AV76" i="30"/>
  <c r="AW76" i="30" s="1"/>
  <c r="AV77" i="30"/>
  <c r="AW77" i="30" s="1"/>
  <c r="AV78" i="30"/>
  <c r="AV79" i="30"/>
  <c r="AV80" i="30"/>
  <c r="AV81" i="30"/>
  <c r="AW81" i="30" s="1"/>
  <c r="AV82" i="30"/>
  <c r="AW82" i="30" s="1"/>
  <c r="AV83" i="30"/>
  <c r="AW83" i="30" s="1"/>
  <c r="AV84" i="30"/>
  <c r="AW84" i="30" s="1"/>
  <c r="AV85" i="30"/>
  <c r="AV86" i="30"/>
  <c r="AW86" i="30" s="1"/>
  <c r="AV87" i="30"/>
  <c r="AW87" i="30" s="1"/>
  <c r="AV88" i="30"/>
  <c r="AW88" i="30" s="1"/>
  <c r="AV89" i="30"/>
  <c r="AW89" i="30" s="1"/>
  <c r="AV90" i="30"/>
  <c r="AV91" i="30"/>
  <c r="AV92" i="30"/>
  <c r="AV93" i="30"/>
  <c r="AW93" i="30" s="1"/>
  <c r="AV94" i="30"/>
  <c r="AW94" i="30" s="1"/>
  <c r="AV95" i="30"/>
  <c r="AW95" i="30" s="1"/>
  <c r="AV96" i="30"/>
  <c r="AW96" i="30" s="1"/>
  <c r="AV97" i="30"/>
  <c r="AW97" i="30" s="1"/>
  <c r="AV98" i="30"/>
  <c r="AW98" i="30" s="1"/>
  <c r="AV99" i="30"/>
  <c r="AW99" i="30" s="1"/>
  <c r="AV100" i="30"/>
  <c r="AW100" i="30" s="1"/>
  <c r="AV101" i="30"/>
  <c r="AW101" i="30" s="1"/>
  <c r="AV102" i="30"/>
  <c r="AV103" i="30"/>
  <c r="AV104" i="30"/>
  <c r="AV105" i="30"/>
  <c r="AW105" i="30" s="1"/>
  <c r="AV106" i="30"/>
  <c r="AW106" i="30" s="1"/>
  <c r="AV107" i="30"/>
  <c r="AW107" i="30" s="1"/>
  <c r="AV108" i="30"/>
  <c r="AW108" i="30" s="1"/>
  <c r="AV109" i="30"/>
  <c r="AV110" i="30"/>
  <c r="AW110" i="30" s="1"/>
  <c r="AV111" i="30"/>
  <c r="AW111" i="30" s="1"/>
  <c r="AV112" i="30"/>
  <c r="AV113" i="30"/>
  <c r="AW113" i="30" s="1"/>
  <c r="AV114" i="30"/>
  <c r="AW114" i="30" s="1"/>
  <c r="AV115" i="30"/>
  <c r="AV116" i="30"/>
  <c r="AV117" i="30"/>
  <c r="AW117" i="30" s="1"/>
  <c r="AV118" i="30"/>
  <c r="AW118" i="30" s="1"/>
  <c r="AV119" i="30"/>
  <c r="AW119" i="30" s="1"/>
  <c r="AV120" i="30"/>
  <c r="AW120" i="30" s="1"/>
  <c r="AV121" i="30"/>
  <c r="AW121" i="30" s="1"/>
  <c r="AV122" i="30"/>
  <c r="AW122" i="30" s="1"/>
  <c r="AV123" i="30"/>
  <c r="AW123" i="30" s="1"/>
  <c r="AV124" i="30"/>
  <c r="AW124" i="30" s="1"/>
  <c r="AV125" i="30"/>
  <c r="AW125" i="30" s="1"/>
  <c r="AV126" i="30"/>
  <c r="AW126" i="30" s="1"/>
  <c r="AV127" i="30"/>
  <c r="AV128" i="30"/>
  <c r="AV129" i="30"/>
  <c r="AW129" i="30" s="1"/>
  <c r="AV130" i="30"/>
  <c r="AW130" i="30" s="1"/>
  <c r="AV131" i="30"/>
  <c r="AW131" i="30" s="1"/>
  <c r="AV132" i="30"/>
  <c r="AW132" i="30" s="1"/>
  <c r="AV133" i="30"/>
  <c r="AW133" i="30" s="1"/>
  <c r="AV134" i="30"/>
  <c r="AW134" i="30" s="1"/>
  <c r="AV135" i="30"/>
  <c r="AW135" i="30" s="1"/>
  <c r="AV136" i="30"/>
  <c r="AW136" i="30" s="1"/>
  <c r="AV137" i="30"/>
  <c r="AW137" i="30" s="1"/>
  <c r="AV138" i="30"/>
  <c r="AV139" i="30"/>
  <c r="AV140" i="30"/>
  <c r="AV141" i="30"/>
  <c r="AW141" i="30" s="1"/>
  <c r="AV142" i="30"/>
  <c r="AW142" i="30" s="1"/>
  <c r="AV143" i="30"/>
  <c r="AW143" i="30" s="1"/>
  <c r="AV144" i="30"/>
  <c r="AW144" i="30" s="1"/>
  <c r="AV145" i="30"/>
  <c r="AW145" i="30" s="1"/>
  <c r="AV146" i="30"/>
  <c r="AW146" i="30" s="1"/>
  <c r="AV147" i="30"/>
  <c r="AW147" i="30" s="1"/>
  <c r="AV148" i="30"/>
  <c r="AW148" i="30" s="1"/>
  <c r="AV149" i="30"/>
  <c r="AW149" i="30" s="1"/>
  <c r="AV150" i="30"/>
  <c r="AV151" i="30"/>
  <c r="AV152" i="30"/>
  <c r="AW152" i="30" s="1"/>
  <c r="AV153" i="30"/>
  <c r="AW153" i="30" s="1"/>
  <c r="AV154" i="30"/>
  <c r="AW154" i="30" s="1"/>
  <c r="AV155" i="30"/>
  <c r="AW155" i="30" s="1"/>
  <c r="AV156" i="30"/>
  <c r="AV157" i="30"/>
  <c r="AW157" i="30" s="1"/>
  <c r="AV158" i="30"/>
  <c r="AW158" i="30" s="1"/>
  <c r="AV159" i="30"/>
  <c r="AW159" i="30" s="1"/>
  <c r="AV160" i="30"/>
  <c r="AW160" i="30" s="1"/>
  <c r="AV161" i="30"/>
  <c r="AW161" i="30" s="1"/>
  <c r="AV162" i="30"/>
  <c r="AV163" i="30"/>
  <c r="AV164" i="30"/>
  <c r="AV165" i="30"/>
  <c r="AW165" i="30" s="1"/>
  <c r="AV166" i="30"/>
  <c r="AW166" i="30" s="1"/>
  <c r="AV167" i="30"/>
  <c r="AW167" i="30" s="1"/>
  <c r="AV168" i="30"/>
  <c r="AW168" i="30" s="1"/>
  <c r="AV169" i="30"/>
  <c r="AW169" i="30" s="1"/>
  <c r="AV170" i="30"/>
  <c r="AW170" i="30" s="1"/>
  <c r="AV171" i="30"/>
  <c r="AW171" i="30" s="1"/>
  <c r="AV172" i="30"/>
  <c r="AW172" i="30" s="1"/>
  <c r="AV173" i="30"/>
  <c r="AW173" i="30" s="1"/>
  <c r="AV174" i="30"/>
  <c r="AW174" i="30" s="1"/>
  <c r="AW12" i="30"/>
  <c r="AW13" i="30"/>
  <c r="AW14" i="30"/>
  <c r="AW17" i="30"/>
  <c r="AW18" i="30"/>
  <c r="AW19" i="30"/>
  <c r="AW30" i="30"/>
  <c r="AW31" i="30"/>
  <c r="AW32" i="30"/>
  <c r="AW42" i="30"/>
  <c r="AW43" i="30"/>
  <c r="AW44" i="30"/>
  <c r="AW46" i="30"/>
  <c r="AW48" i="30"/>
  <c r="AW54" i="30"/>
  <c r="AW55" i="30"/>
  <c r="AW56" i="30"/>
  <c r="AW61" i="30"/>
  <c r="AW67" i="30"/>
  <c r="AW68" i="30"/>
  <c r="AW70" i="30"/>
  <c r="AW73" i="30"/>
  <c r="AW78" i="30"/>
  <c r="AW79" i="30"/>
  <c r="AW80" i="30"/>
  <c r="AW85" i="30"/>
  <c r="AW90" i="30"/>
  <c r="AW91" i="30"/>
  <c r="AW92" i="30"/>
  <c r="AW102" i="30"/>
  <c r="AW103" i="30"/>
  <c r="AW104" i="30"/>
  <c r="AW109" i="30"/>
  <c r="AW112" i="30"/>
  <c r="AW115" i="30"/>
  <c r="AW116" i="30"/>
  <c r="AW127" i="30"/>
  <c r="AW128" i="30"/>
  <c r="AW138" i="30"/>
  <c r="AW139" i="30"/>
  <c r="AW140" i="30"/>
  <c r="AW150" i="30"/>
  <c r="AW151" i="30"/>
  <c r="AW156" i="30"/>
  <c r="AW162" i="30"/>
  <c r="AW163" i="30"/>
  <c r="AW164" i="30"/>
  <c r="AV11" i="30"/>
  <c r="AW11" i="30" s="1"/>
  <c r="H13" i="30" l="1"/>
  <c r="H15" i="30"/>
  <c r="H16" i="30"/>
  <c r="H18" i="30"/>
  <c r="H38" i="30"/>
  <c r="H44" i="30"/>
  <c r="H46" i="30"/>
  <c r="H63" i="30"/>
  <c r="H64" i="30"/>
  <c r="H73" i="30"/>
  <c r="H76" i="30"/>
  <c r="H82" i="30"/>
  <c r="H83" i="30"/>
  <c r="H84" i="30"/>
  <c r="H85" i="30"/>
  <c r="H88" i="30"/>
  <c r="H92" i="30"/>
  <c r="H97" i="30"/>
  <c r="H100" i="30"/>
  <c r="H102" i="30"/>
  <c r="H105" i="30"/>
  <c r="H120" i="30"/>
  <c r="H121" i="30"/>
  <c r="H122" i="30"/>
  <c r="H123" i="30"/>
  <c r="H140" i="30"/>
  <c r="H143" i="30"/>
  <c r="H147" i="30"/>
  <c r="H156" i="30"/>
  <c r="H157" i="30"/>
  <c r="H171" i="30"/>
  <c r="H172" i="30"/>
  <c r="H173" i="30"/>
  <c r="H174" i="30"/>
  <c r="F49" i="30" l="1"/>
  <c r="H49" i="30" s="1"/>
  <c r="F5" i="30"/>
  <c r="F13" i="30"/>
  <c r="F15" i="30"/>
  <c r="F17" i="30"/>
  <c r="H17" i="30" s="1"/>
  <c r="F18" i="30"/>
  <c r="F26" i="30"/>
  <c r="H26" i="30" s="1"/>
  <c r="F27" i="30"/>
  <c r="H27" i="30" s="1"/>
  <c r="F34" i="30"/>
  <c r="H34" i="30" s="1"/>
  <c r="F44" i="30"/>
  <c r="F46" i="30"/>
  <c r="F47" i="30"/>
  <c r="H47" i="30" s="1"/>
  <c r="F48" i="30"/>
  <c r="H48" i="30" s="1"/>
  <c r="F56" i="30"/>
  <c r="H56" i="30" s="1"/>
  <c r="F59" i="30"/>
  <c r="H59" i="30" s="1"/>
  <c r="F60" i="30"/>
  <c r="H60" i="30" s="1"/>
  <c r="F61" i="30"/>
  <c r="H61" i="30" s="1"/>
  <c r="F62" i="30"/>
  <c r="H62" i="30" s="1"/>
  <c r="F63" i="30"/>
  <c r="F64" i="30"/>
  <c r="F65" i="30"/>
  <c r="H65" i="30" s="1"/>
  <c r="F68" i="30"/>
  <c r="H68" i="30" s="1"/>
  <c r="F70" i="30"/>
  <c r="H70" i="30" s="1"/>
  <c r="F71" i="30"/>
  <c r="H71" i="30" s="1"/>
  <c r="F72" i="30"/>
  <c r="H72" i="30" s="1"/>
  <c r="F73" i="30"/>
  <c r="F74" i="30"/>
  <c r="H74" i="30" s="1"/>
  <c r="F75" i="30"/>
  <c r="H75" i="30" s="1"/>
  <c r="F76" i="30"/>
  <c r="F77" i="30"/>
  <c r="H77" i="30" s="1"/>
  <c r="F78" i="30"/>
  <c r="H78" i="30" s="1"/>
  <c r="F79" i="30"/>
  <c r="H79" i="30" s="1"/>
  <c r="F80" i="30"/>
  <c r="H80" i="30" s="1"/>
  <c r="F81" i="30"/>
  <c r="H81" i="30" s="1"/>
  <c r="F82" i="30"/>
  <c r="F83" i="30"/>
  <c r="F84" i="30"/>
  <c r="F85" i="30"/>
  <c r="F86" i="30"/>
  <c r="H86" i="30" s="1"/>
  <c r="F87" i="30"/>
  <c r="H87" i="30" s="1"/>
  <c r="F88" i="30"/>
  <c r="F89" i="30"/>
  <c r="H89" i="30" s="1"/>
  <c r="F90" i="30"/>
  <c r="H90" i="30" s="1"/>
  <c r="F91" i="30"/>
  <c r="H91" i="30" s="1"/>
  <c r="F92" i="30"/>
  <c r="F93" i="30"/>
  <c r="H93" i="30" s="1"/>
  <c r="F94" i="30"/>
  <c r="H94" i="30" s="1"/>
  <c r="F95" i="30"/>
  <c r="H95" i="30" s="1"/>
  <c r="F96" i="30"/>
  <c r="H96" i="30" s="1"/>
  <c r="F97" i="30"/>
  <c r="F98" i="30"/>
  <c r="H98" i="30" s="1"/>
  <c r="F99" i="30"/>
  <c r="H99" i="30" s="1"/>
  <c r="F100" i="30"/>
  <c r="F101" i="30"/>
  <c r="H101" i="30" s="1"/>
  <c r="F102" i="30"/>
  <c r="F103" i="30"/>
  <c r="H103" i="30" s="1"/>
  <c r="F104" i="30"/>
  <c r="H104" i="30" s="1"/>
  <c r="F105" i="30"/>
  <c r="F106" i="30"/>
  <c r="H106" i="30" s="1"/>
  <c r="F107" i="30"/>
  <c r="H107" i="30" s="1"/>
  <c r="F108" i="30"/>
  <c r="H108" i="30" s="1"/>
  <c r="F109" i="30"/>
  <c r="H109" i="30" s="1"/>
  <c r="F110" i="30"/>
  <c r="H110" i="30" s="1"/>
  <c r="F111" i="30"/>
  <c r="H111" i="30" s="1"/>
  <c r="F112" i="30"/>
  <c r="H112" i="30" s="1"/>
  <c r="F113" i="30"/>
  <c r="H113" i="30" s="1"/>
  <c r="F114" i="30"/>
  <c r="H114" i="30" s="1"/>
  <c r="F115" i="30"/>
  <c r="H115" i="30" s="1"/>
  <c r="F116" i="30"/>
  <c r="H116" i="30" s="1"/>
  <c r="F117" i="30"/>
  <c r="H117" i="30" s="1"/>
  <c r="F118" i="30"/>
  <c r="H118" i="30" s="1"/>
  <c r="F119" i="30"/>
  <c r="H119" i="30" s="1"/>
  <c r="F120" i="30"/>
  <c r="F121" i="30"/>
  <c r="F122" i="30"/>
  <c r="F123" i="30"/>
  <c r="F124" i="30"/>
  <c r="H124" i="30" s="1"/>
  <c r="F125" i="30"/>
  <c r="H125" i="30" s="1"/>
  <c r="F126" i="30"/>
  <c r="H126" i="30" s="1"/>
  <c r="F127" i="30"/>
  <c r="H127" i="30" s="1"/>
  <c r="F128" i="30"/>
  <c r="H128" i="30" s="1"/>
  <c r="F129" i="30"/>
  <c r="H129" i="30" s="1"/>
  <c r="F130" i="30"/>
  <c r="H130" i="30" s="1"/>
  <c r="F131" i="30"/>
  <c r="H131" i="30" s="1"/>
  <c r="F132" i="30"/>
  <c r="H132" i="30" s="1"/>
  <c r="F133" i="30"/>
  <c r="H133" i="30" s="1"/>
  <c r="F134" i="30"/>
  <c r="H134" i="30" s="1"/>
  <c r="F135" i="30"/>
  <c r="H135" i="30" s="1"/>
  <c r="F136" i="30"/>
  <c r="H136" i="30" s="1"/>
  <c r="F137" i="30"/>
  <c r="H137" i="30" s="1"/>
  <c r="F138" i="30"/>
  <c r="H138" i="30" s="1"/>
  <c r="F139" i="30"/>
  <c r="H139" i="30" s="1"/>
  <c r="F140" i="30"/>
  <c r="F141" i="30"/>
  <c r="H141" i="30" s="1"/>
  <c r="F142" i="30"/>
  <c r="H142" i="30" s="1"/>
  <c r="F143" i="30"/>
  <c r="F144" i="30"/>
  <c r="H144" i="30" s="1"/>
  <c r="F145" i="30"/>
  <c r="H145" i="30" s="1"/>
  <c r="F146" i="30"/>
  <c r="H146" i="30" s="1"/>
  <c r="F147" i="30"/>
  <c r="F148" i="30"/>
  <c r="H148" i="30" s="1"/>
  <c r="F149" i="30"/>
  <c r="H149" i="30" s="1"/>
  <c r="F150" i="30"/>
  <c r="H150" i="30" s="1"/>
  <c r="F151" i="30"/>
  <c r="H151" i="30" s="1"/>
  <c r="F152" i="30"/>
  <c r="H152" i="30" s="1"/>
  <c r="F153" i="30"/>
  <c r="H153" i="30" s="1"/>
  <c r="F154" i="30"/>
  <c r="H154" i="30" s="1"/>
  <c r="F155" i="30"/>
  <c r="H155" i="30" s="1"/>
  <c r="F156" i="30"/>
  <c r="F157" i="30"/>
  <c r="F158" i="30"/>
  <c r="H158" i="30" s="1"/>
  <c r="F159" i="30"/>
  <c r="H159" i="30" s="1"/>
  <c r="F160" i="30"/>
  <c r="H160" i="30" s="1"/>
  <c r="F161" i="30"/>
  <c r="H161" i="30" s="1"/>
  <c r="F162" i="30"/>
  <c r="H162" i="30" s="1"/>
  <c r="F163" i="30"/>
  <c r="H163" i="30" s="1"/>
  <c r="F164" i="30"/>
  <c r="H164" i="30" s="1"/>
  <c r="F165" i="30"/>
  <c r="H165" i="30" s="1"/>
  <c r="F166" i="30"/>
  <c r="H166" i="30" s="1"/>
  <c r="F167" i="30"/>
  <c r="H167" i="30" s="1"/>
  <c r="F168" i="30"/>
  <c r="H168" i="30" s="1"/>
  <c r="F169" i="30"/>
  <c r="H169" i="30" s="1"/>
  <c r="F170" i="30"/>
  <c r="H170" i="30" s="1"/>
  <c r="F171" i="30"/>
  <c r="F172" i="30"/>
  <c r="F173" i="30"/>
  <c r="F174" i="30"/>
  <c r="F11" i="30"/>
  <c r="H11" i="30" s="1"/>
  <c r="F55" i="30" l="1"/>
  <c r="H55" i="30" s="1"/>
  <c r="F19" i="30"/>
  <c r="H19" i="30" s="1"/>
  <c r="F52" i="30"/>
  <c r="H52" i="30" s="1"/>
  <c r="F51" i="30"/>
  <c r="H51" i="30" s="1"/>
  <c r="F50" i="30"/>
  <c r="H50" i="30" s="1"/>
  <c r="F12" i="30"/>
  <c r="H12" i="30" s="1"/>
  <c r="F25" i="30"/>
  <c r="H25" i="30" s="1"/>
  <c r="F24" i="30"/>
  <c r="H24" i="30" s="1"/>
  <c r="F23" i="30"/>
  <c r="H23" i="30" s="1"/>
  <c r="F20" i="30"/>
  <c r="H20" i="30" s="1"/>
  <c r="F21" i="30"/>
  <c r="H21" i="30" s="1"/>
  <c r="F22" i="30"/>
  <c r="H22" i="30" s="1"/>
  <c r="F43" i="30"/>
  <c r="H43" i="30" s="1"/>
  <c r="F58" i="30"/>
  <c r="H58" i="30" s="1"/>
  <c r="F42" i="30"/>
  <c r="H42" i="30" s="1"/>
  <c r="F67" i="30"/>
  <c r="H67" i="30" s="1"/>
  <c r="F54" i="30"/>
  <c r="H54" i="30" s="1"/>
  <c r="F41" i="30"/>
  <c r="H41" i="30" s="1"/>
  <c r="F66" i="30"/>
  <c r="H66" i="30" s="1"/>
  <c r="F53" i="30"/>
  <c r="H53" i="30" s="1"/>
  <c r="F40" i="30"/>
  <c r="H40" i="30" s="1"/>
  <c r="F39" i="30"/>
  <c r="H39" i="30" s="1"/>
  <c r="F38" i="30"/>
  <c r="F37" i="30"/>
  <c r="H37" i="30" s="1"/>
  <c r="F35" i="30"/>
  <c r="H35" i="30" s="1"/>
  <c r="F36" i="30"/>
  <c r="H36" i="30" s="1"/>
  <c r="F16" i="30"/>
  <c r="F69" i="30"/>
  <c r="H69" i="30" s="1"/>
  <c r="F57" i="30"/>
  <c r="H57" i="30" s="1"/>
  <c r="F45" i="30"/>
  <c r="H45" i="30" s="1"/>
  <c r="F33" i="30"/>
  <c r="H33" i="30" s="1"/>
  <c r="F31" i="30"/>
  <c r="H31" i="30" s="1"/>
  <c r="F29" i="30"/>
  <c r="H29" i="30" s="1"/>
  <c r="H28" i="30"/>
  <c r="F32" i="30"/>
  <c r="H32" i="30" s="1"/>
  <c r="F14" i="30"/>
  <c r="H14" i="30" s="1"/>
  <c r="F30" i="30"/>
  <c r="H30" i="30" s="1"/>
  <c r="R155" i="30"/>
  <c r="N155" i="30"/>
  <c r="L155" i="30"/>
  <c r="R154" i="30"/>
  <c r="N154" i="30"/>
  <c r="L154" i="30"/>
  <c r="R153" i="30"/>
  <c r="Q153" i="30"/>
  <c r="P153" i="30"/>
  <c r="O153" i="30"/>
  <c r="N153" i="30"/>
  <c r="M153" i="30"/>
  <c r="L153" i="30"/>
  <c r="R152" i="30"/>
  <c r="Q152" i="30"/>
  <c r="P152" i="30"/>
  <c r="O152" i="30"/>
  <c r="N152" i="30"/>
  <c r="L152" i="30"/>
  <c r="M152" i="30"/>
  <c r="W35" i="12" l="1"/>
  <c r="W34" i="12"/>
  <c r="W33" i="12"/>
  <c r="W32" i="12"/>
  <c r="W31" i="12"/>
  <c r="W21" i="12"/>
  <c r="W22" i="12"/>
  <c r="W23" i="12"/>
  <c r="W24" i="12"/>
  <c r="W20" i="12"/>
  <c r="N10" i="12" l="1"/>
  <c r="L7" i="12" l="1"/>
  <c r="M54" i="30"/>
  <c r="M33" i="30" s="1"/>
  <c r="O54" i="30"/>
  <c r="O33" i="30" s="1"/>
  <c r="P54" i="30"/>
  <c r="P33" i="30" s="1"/>
  <c r="Q54" i="30"/>
  <c r="Q33" i="30" s="1"/>
  <c r="R54" i="30"/>
  <c r="R33" i="30" s="1"/>
  <c r="M158" i="30"/>
  <c r="Q151" i="30"/>
  <c r="Q155" i="30" s="1"/>
  <c r="Q150" i="30"/>
  <c r="Q154" i="30" s="1"/>
  <c r="P151" i="30"/>
  <c r="P155" i="30" s="1"/>
  <c r="P150" i="30"/>
  <c r="P154" i="30" s="1"/>
  <c r="O151" i="30"/>
  <c r="O155" i="30" s="1"/>
  <c r="O150" i="30"/>
  <c r="O154" i="30" s="1"/>
  <c r="M151" i="30"/>
  <c r="M155" i="30" s="1"/>
  <c r="M150" i="30"/>
  <c r="M154" i="30" s="1"/>
  <c r="O124" i="30"/>
  <c r="M124" i="30"/>
  <c r="O110" i="30"/>
  <c r="M110" i="30"/>
  <c r="P110" i="30"/>
  <c r="Q110" i="30"/>
  <c r="R110" i="30"/>
  <c r="O19" i="30"/>
  <c r="M19" i="30"/>
  <c r="M70" i="30"/>
  <c r="O70" i="30"/>
  <c r="R34" i="30"/>
  <c r="Q34" i="30"/>
  <c r="P34" i="30"/>
  <c r="O34" i="30"/>
  <c r="N34" i="30"/>
  <c r="M34" i="30"/>
  <c r="K34" i="30"/>
  <c r="N33" i="30"/>
  <c r="K33" i="30"/>
  <c r="R32" i="30"/>
  <c r="Q32" i="30"/>
  <c r="P32" i="30"/>
  <c r="O32" i="30"/>
  <c r="N32" i="30"/>
  <c r="M32" i="30"/>
  <c r="L32" i="30"/>
  <c r="K32" i="30"/>
  <c r="R31" i="30"/>
  <c r="Q31" i="30"/>
  <c r="P31" i="30"/>
  <c r="O31" i="30"/>
  <c r="N31" i="30"/>
  <c r="M31" i="30"/>
  <c r="L31" i="30"/>
  <c r="K31" i="30"/>
  <c r="R30" i="30"/>
  <c r="Q30" i="30"/>
  <c r="P30" i="30"/>
  <c r="O30" i="30"/>
  <c r="N30" i="30"/>
  <c r="M30" i="30"/>
  <c r="L30" i="30"/>
  <c r="K30" i="30"/>
  <c r="J34" i="30"/>
  <c r="J33" i="30"/>
  <c r="J32" i="30"/>
  <c r="J31" i="30"/>
  <c r="J30" i="30"/>
  <c r="R166" i="30" l="1"/>
  <c r="Q166" i="30"/>
  <c r="P166" i="30"/>
  <c r="O166" i="30"/>
  <c r="N166" i="30"/>
  <c r="M166" i="30"/>
  <c r="K166" i="30"/>
  <c r="R161" i="30"/>
  <c r="Q161" i="30"/>
  <c r="P161" i="30"/>
  <c r="O161" i="30"/>
  <c r="N161" i="30"/>
  <c r="M161" i="30"/>
  <c r="K161" i="30"/>
  <c r="B41" i="12" l="1"/>
  <c r="U53" i="12"/>
  <c r="U43" i="12"/>
  <c r="Q124" i="30" l="1"/>
  <c r="P124" i="30"/>
  <c r="P70" i="30"/>
  <c r="P19" i="30"/>
  <c r="K158" i="30"/>
  <c r="L158" i="30"/>
  <c r="N158" i="30"/>
  <c r="O158" i="30"/>
  <c r="P158" i="30"/>
  <c r="Q158" i="30"/>
  <c r="R158" i="30"/>
  <c r="K159" i="30"/>
  <c r="L159" i="30"/>
  <c r="M159" i="30"/>
  <c r="N159" i="30"/>
  <c r="O159" i="30"/>
  <c r="P159" i="30"/>
  <c r="Q159" i="30"/>
  <c r="R159" i="30"/>
  <c r="K160" i="30"/>
  <c r="L160" i="30"/>
  <c r="M160" i="30"/>
  <c r="N160" i="30"/>
  <c r="O160" i="30"/>
  <c r="P160" i="30"/>
  <c r="Q160" i="30"/>
  <c r="R160" i="30"/>
  <c r="K162" i="30"/>
  <c r="M162" i="30"/>
  <c r="N162" i="30"/>
  <c r="O162" i="30"/>
  <c r="P162" i="30"/>
  <c r="Q162" i="30"/>
  <c r="R162" i="30"/>
  <c r="K163" i="30"/>
  <c r="L163" i="30"/>
  <c r="M163" i="30"/>
  <c r="N163" i="30"/>
  <c r="O163" i="30"/>
  <c r="P163" i="30"/>
  <c r="Q163" i="30"/>
  <c r="R163" i="30"/>
  <c r="K164" i="30"/>
  <c r="L164" i="30"/>
  <c r="M164" i="30"/>
  <c r="N164" i="30"/>
  <c r="O164" i="30"/>
  <c r="P164" i="30"/>
  <c r="Q164" i="30"/>
  <c r="R164" i="30"/>
  <c r="K165" i="30"/>
  <c r="L165" i="30"/>
  <c r="M165" i="30"/>
  <c r="N165" i="30"/>
  <c r="O165" i="30"/>
  <c r="P165" i="30"/>
  <c r="Q165" i="30"/>
  <c r="R165" i="30"/>
  <c r="K167" i="30"/>
  <c r="M167" i="30"/>
  <c r="N167" i="30"/>
  <c r="O167" i="30"/>
  <c r="P167" i="30"/>
  <c r="Q167" i="30"/>
  <c r="R167" i="30"/>
  <c r="N2" i="12" l="1"/>
  <c r="N3" i="12"/>
  <c r="U49" i="12"/>
  <c r="H17" i="12"/>
  <c r="R17" i="12" l="1"/>
  <c r="R28" i="12" l="1"/>
  <c r="H28" i="12"/>
  <c r="N39" i="12" s="1"/>
  <c r="D7" i="8"/>
  <c r="R42" i="12" l="1"/>
  <c r="R52" i="12" s="1"/>
  <c r="R39" i="12"/>
  <c r="D15" i="12"/>
  <c r="K13" i="12"/>
  <c r="AU35" i="12" l="1"/>
  <c r="M35" i="12" s="1"/>
  <c r="AU34" i="12"/>
  <c r="M34" i="12" s="1"/>
  <c r="AU33" i="12"/>
  <c r="M33" i="12" s="1"/>
  <c r="AU32" i="12"/>
  <c r="M32" i="12" s="1"/>
  <c r="AU31" i="12"/>
  <c r="M31" i="12" s="1"/>
  <c r="AU24" i="12"/>
  <c r="M24" i="12" s="1"/>
  <c r="AU22" i="12"/>
  <c r="M22" i="12" s="1"/>
  <c r="AU21" i="12"/>
  <c r="M21" i="12" s="1"/>
  <c r="AU20" i="12"/>
  <c r="T20" i="12" s="1"/>
  <c r="AU23" i="12"/>
  <c r="M23" i="12" s="1"/>
  <c r="AU7" i="12"/>
  <c r="M20" i="12" l="1"/>
  <c r="S20" i="12" s="1"/>
  <c r="H23" i="12"/>
  <c r="S23" i="12"/>
  <c r="H22" i="12"/>
  <c r="S22" i="12"/>
  <c r="H24" i="12"/>
  <c r="O24" i="12" s="1"/>
  <c r="P24" i="12" s="1"/>
  <c r="S24" i="12"/>
  <c r="U33" i="12"/>
  <c r="S33" i="12"/>
  <c r="R33" i="12"/>
  <c r="U34" i="12"/>
  <c r="S34" i="12"/>
  <c r="R34" i="12"/>
  <c r="S35" i="12"/>
  <c r="R35" i="12"/>
  <c r="U35" i="12"/>
  <c r="S31" i="12"/>
  <c r="S32" i="12"/>
  <c r="H21" i="12"/>
  <c r="O23" i="12"/>
  <c r="P23" i="12" s="1"/>
  <c r="S21" i="12"/>
  <c r="H20" i="12"/>
  <c r="Y23" i="12"/>
  <c r="AD23" i="12" s="1"/>
  <c r="Z23" i="12"/>
  <c r="AE23" i="12" s="1"/>
  <c r="AA23" i="12"/>
  <c r="AF23" i="12" s="1"/>
  <c r="AB23" i="12"/>
  <c r="AG23" i="12" s="1"/>
  <c r="X23" i="12"/>
  <c r="AC23" i="12" s="1"/>
  <c r="AB34" i="12"/>
  <c r="AG34" i="12" s="1"/>
  <c r="AA34" i="12"/>
  <c r="AF34" i="12" s="1"/>
  <c r="Y34" i="12"/>
  <c r="AD34" i="12" s="1"/>
  <c r="X34" i="12"/>
  <c r="AC34" i="12" s="1"/>
  <c r="Z34" i="12"/>
  <c r="AE34" i="12" s="1"/>
  <c r="X35" i="12"/>
  <c r="AC35" i="12" s="1"/>
  <c r="AB35" i="12"/>
  <c r="AG35" i="12" s="1"/>
  <c r="AA35" i="12"/>
  <c r="AF35" i="12" s="1"/>
  <c r="Z35" i="12"/>
  <c r="AE35" i="12" s="1"/>
  <c r="Y35" i="12"/>
  <c r="AD35" i="12" s="1"/>
  <c r="Y22" i="12"/>
  <c r="AD22" i="12" s="1"/>
  <c r="AA22" i="12"/>
  <c r="AF22" i="12" s="1"/>
  <c r="AB22" i="12"/>
  <c r="AG22" i="12" s="1"/>
  <c r="X22" i="12"/>
  <c r="AC22" i="12" s="1"/>
  <c r="Z22" i="12"/>
  <c r="AE22" i="12" s="1"/>
  <c r="Y24" i="12"/>
  <c r="AD24" i="12" s="1"/>
  <c r="Z24" i="12"/>
  <c r="AE24" i="12" s="1"/>
  <c r="AB24" i="12"/>
  <c r="AG24" i="12" s="1"/>
  <c r="X24" i="12"/>
  <c r="AC24" i="12" s="1"/>
  <c r="AA24" i="12"/>
  <c r="AF24" i="12" s="1"/>
  <c r="AB33" i="12"/>
  <c r="AG33" i="12" s="1"/>
  <c r="AA33" i="12"/>
  <c r="AF33" i="12" s="1"/>
  <c r="Z33" i="12"/>
  <c r="AE33" i="12" s="1"/>
  <c r="Y33" i="12"/>
  <c r="AD33" i="12" s="1"/>
  <c r="X33" i="12"/>
  <c r="AC33" i="12" s="1"/>
  <c r="Z32" i="12"/>
  <c r="AE32" i="12" s="1"/>
  <c r="Y32" i="12"/>
  <c r="AD32" i="12" s="1"/>
  <c r="X32" i="12"/>
  <c r="AC32" i="12" s="1"/>
  <c r="AB32" i="12"/>
  <c r="AG32" i="12" s="1"/>
  <c r="AA32" i="12"/>
  <c r="AF32" i="12" s="1"/>
  <c r="AB31" i="12"/>
  <c r="AG31" i="12" s="1"/>
  <c r="AA31" i="12"/>
  <c r="AF31" i="12" s="1"/>
  <c r="Z31" i="12"/>
  <c r="AE31" i="12" s="1"/>
  <c r="Y31" i="12"/>
  <c r="AD31" i="12" s="1"/>
  <c r="X31" i="12"/>
  <c r="AC31" i="12" s="1"/>
  <c r="Z21" i="12"/>
  <c r="AE21" i="12" s="1"/>
  <c r="AA21" i="12"/>
  <c r="AF21" i="12" s="1"/>
  <c r="AB21" i="12"/>
  <c r="AG21" i="12" s="1"/>
  <c r="Y21" i="12"/>
  <c r="AD21" i="12" s="1"/>
  <c r="X21" i="12"/>
  <c r="AC21" i="12" s="1"/>
  <c r="X20" i="12"/>
  <c r="AC20" i="12" s="1"/>
  <c r="AB20" i="12"/>
  <c r="AG20" i="12" s="1"/>
  <c r="AA20" i="12"/>
  <c r="AF20" i="12" s="1"/>
  <c r="Z20" i="12"/>
  <c r="AE20" i="12" s="1"/>
  <c r="Y20" i="12"/>
  <c r="AD20" i="12" s="1"/>
  <c r="J34" i="12"/>
  <c r="F24" i="12"/>
  <c r="J32" i="12"/>
  <c r="J33" i="12"/>
  <c r="F33" i="12"/>
  <c r="F32" i="12"/>
  <c r="F34" i="12"/>
  <c r="F35" i="12"/>
  <c r="F31" i="12"/>
  <c r="J22" i="12"/>
  <c r="F23" i="12"/>
  <c r="F21" i="12"/>
  <c r="J20" i="12"/>
  <c r="H32" i="12"/>
  <c r="R32" i="12" s="1"/>
  <c r="U32" i="12" s="1"/>
  <c r="F20" i="12"/>
  <c r="F22" i="12"/>
  <c r="J24" i="12"/>
  <c r="J35" i="12"/>
  <c r="H35" i="12"/>
  <c r="H34" i="12"/>
  <c r="H33" i="12"/>
  <c r="J31" i="12"/>
  <c r="H31" i="12"/>
  <c r="R31" i="12" s="1"/>
  <c r="O35" i="12"/>
  <c r="P35" i="12" s="1"/>
  <c r="R24" i="12"/>
  <c r="J21" i="12"/>
  <c r="J23" i="12"/>
  <c r="R23" i="12"/>
  <c r="A2" i="12"/>
  <c r="U31" i="12" l="1"/>
  <c r="O20" i="12"/>
  <c r="P20" i="12" s="1"/>
  <c r="R21" i="12"/>
  <c r="O34" i="12"/>
  <c r="P34" i="12" s="1"/>
  <c r="AH34" i="12"/>
  <c r="AH22" i="12"/>
  <c r="AH35" i="12"/>
  <c r="AF25" i="12"/>
  <c r="AH24" i="12"/>
  <c r="AG25" i="12"/>
  <c r="AH23" i="12"/>
  <c r="AH33" i="12"/>
  <c r="AG36" i="12"/>
  <c r="AD36" i="12"/>
  <c r="AF36" i="12"/>
  <c r="O32" i="12"/>
  <c r="P32" i="12" s="1"/>
  <c r="AE36" i="12"/>
  <c r="AH32" i="12"/>
  <c r="AH31" i="12"/>
  <c r="AC36" i="12"/>
  <c r="AE25" i="12"/>
  <c r="AH21" i="12"/>
  <c r="O21" i="12"/>
  <c r="P21" i="12" s="1"/>
  <c r="AD25" i="12"/>
  <c r="AH20" i="12"/>
  <c r="AC25" i="12"/>
  <c r="R20" i="12"/>
  <c r="O22" i="12"/>
  <c r="P22" i="12" s="1"/>
  <c r="O33" i="12"/>
  <c r="P33" i="12" s="1"/>
  <c r="O31" i="12"/>
  <c r="P31" i="12" s="1"/>
  <c r="R22" i="12"/>
  <c r="AH25" i="12" l="1"/>
  <c r="AG26" i="12" s="1"/>
  <c r="AH36" i="12"/>
  <c r="AG37" i="12" s="1"/>
  <c r="U23" i="12"/>
  <c r="U24" i="12"/>
  <c r="U21" i="12"/>
  <c r="P36" i="12"/>
  <c r="P25" i="12"/>
  <c r="Y45" i="12" l="1"/>
  <c r="X45" i="12"/>
  <c r="P39" i="12"/>
  <c r="AF26" i="12"/>
  <c r="X44" i="12" s="1"/>
  <c r="AE26" i="12"/>
  <c r="X43" i="12" s="1"/>
  <c r="AD26" i="12"/>
  <c r="X42" i="12" s="1"/>
  <c r="AC26" i="12"/>
  <c r="X41" i="12" s="1"/>
  <c r="AH26" i="12"/>
  <c r="AH37" i="12"/>
  <c r="AC37" i="12"/>
  <c r="Y41" i="12" s="1"/>
  <c r="AD37" i="12"/>
  <c r="Y42" i="12" s="1"/>
  <c r="AE37" i="12"/>
  <c r="Y43" i="12" s="1"/>
  <c r="AF37" i="12"/>
  <c r="Y44" i="12" s="1"/>
  <c r="U20" i="12"/>
  <c r="U36" i="12"/>
  <c r="U22" i="12"/>
  <c r="Y46" i="12" l="1"/>
  <c r="X46" i="12"/>
  <c r="U25" i="12"/>
  <c r="U39" i="12" s="1"/>
  <c r="Z44" i="12" l="1"/>
  <c r="AA44" i="12" s="1"/>
  <c r="Z41" i="12"/>
  <c r="AA41" i="12" s="1"/>
  <c r="Z43" i="12"/>
  <c r="AA43" i="12" s="1"/>
  <c r="AB43" i="12" s="1"/>
  <c r="Z45" i="12"/>
  <c r="AA45" i="12" s="1"/>
  <c r="Z42" i="12"/>
  <c r="AA42" i="12" s="1"/>
  <c r="AB42" i="12" s="1"/>
  <c r="AB44" i="12"/>
  <c r="U54" i="12"/>
  <c r="AE42" i="12" l="1"/>
  <c r="AE43" i="12"/>
  <c r="AE44" i="12"/>
  <c r="AA46" i="12"/>
  <c r="AB41" i="12"/>
  <c r="Z46" i="12"/>
  <c r="AB45" i="12"/>
  <c r="U56" i="12"/>
  <c r="U55" i="12"/>
  <c r="U59" i="12" s="1"/>
  <c r="AE45" i="12" l="1"/>
  <c r="AB46" i="12"/>
  <c r="AE41" i="12"/>
  <c r="AE46" i="12" s="1"/>
  <c r="L166" i="30"/>
  <c r="L33" i="30"/>
  <c r="L161" i="30" s="1"/>
  <c r="L167" i="30"/>
  <c r="L34" i="30"/>
  <c r="L162" i="30" s="1"/>
  <c r="AC46" i="12" l="1"/>
  <c r="AC42" i="12"/>
  <c r="AC43" i="12"/>
  <c r="AC44" i="12"/>
  <c r="AC41" i="12"/>
  <c r="AC45" i="12"/>
</calcChain>
</file>

<file path=xl/sharedStrings.xml><?xml version="1.0" encoding="utf-8"?>
<sst xmlns="http://schemas.openxmlformats.org/spreadsheetml/2006/main" count="1597" uniqueCount="478">
  <si>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</si>
  <si>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</si>
  <si>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</si>
  <si>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</si>
  <si>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</si>
  <si>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</si>
  <si>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</si>
  <si>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</si>
  <si>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</si>
  <si>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</si>
  <si>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</si>
  <si>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</si>
  <si>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</si>
  <si>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</si>
  <si>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</si>
  <si>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</si>
  <si>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</si>
  <si>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</si>
  <si>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</si>
  <si>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</si>
  <si>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Water</t>
  </si>
  <si>
    <t>Sewer</t>
  </si>
  <si>
    <t>Roads</t>
  </si>
  <si>
    <t>Pathways</t>
  </si>
  <si>
    <t>Parks</t>
  </si>
  <si>
    <t>Total</t>
  </si>
  <si>
    <t>A - Fully serviced urban area</t>
  </si>
  <si>
    <t>A</t>
  </si>
  <si>
    <t>B - Urban area without sewer</t>
  </si>
  <si>
    <t>B</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</si>
  <si>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</si>
  <si>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</si>
  <si>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</si>
  <si>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</si>
  <si>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</si>
  <si>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</si>
  <si>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</si>
  <si>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</si>
  <si>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</si>
  <si>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</si>
  <si>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</si>
  <si>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</si>
  <si>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</si>
  <si>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</si>
  <si>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</si>
  <si>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</si>
  <si>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</si>
  <si>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</si>
  <si>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</si>
  <si>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</si>
  <si>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</si>
  <si>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</si>
  <si>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At time of payment</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</si>
  <si>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</si>
  <si>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</si>
  <si>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</si>
  <si>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</si>
  <si>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</si>
  <si>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</si>
  <si>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</si>
  <si>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</si>
  <si>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4. If it is, enter</t>
    </r>
    <r>
      <rPr>
        <b/>
        <sz val="11"/>
        <rFont val="Arial"/>
        <family val="2"/>
      </rPr>
      <t xml:space="preserve"> Payment date</t>
    </r>
    <r>
      <rPr>
        <sz val="11"/>
        <rFont val="Arial"/>
        <family val="2"/>
      </rPr>
      <t xml:space="preserve"> in calculation worksheet to allow for inflationary adjustment.</t>
    </r>
  </si>
  <si>
    <t>For development approvals decided between</t>
  </si>
  <si>
    <t xml:space="preserve">and </t>
  </si>
  <si>
    <t/>
  </si>
  <si>
    <t>and subsequent payments between</t>
  </si>
  <si>
    <t>Details</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</si>
  <si>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</si>
  <si>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</si>
  <si>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</si>
  <si>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</si>
  <si>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</si>
  <si>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</si>
  <si>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</si>
  <si>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</si>
  <si>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</si>
  <si>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</si>
  <si>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</si>
  <si>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</si>
  <si>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</si>
  <si>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</si>
  <si>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</si>
  <si>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</si>
  <si>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</si>
  <si>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</si>
  <si>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</si>
  <si>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Cap</t>
  </si>
  <si>
    <t>None</t>
  </si>
  <si>
    <t>5.</t>
  </si>
  <si>
    <t>Credit land use</t>
  </si>
  <si>
    <t>6.</t>
  </si>
  <si>
    <t>Validation</t>
  </si>
  <si>
    <t>Calculated by:</t>
  </si>
  <si>
    <t>Confirmed by:</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</si>
  <si>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</si>
  <si>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</si>
  <si>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</si>
  <si>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</si>
  <si>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</si>
  <si>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</si>
  <si>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</si>
  <si>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</si>
  <si>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</si>
  <si>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</si>
  <si>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</si>
  <si>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</si>
  <si>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</si>
  <si>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</si>
  <si>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</si>
  <si>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</si>
  <si>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</si>
  <si>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</si>
  <si>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</si>
  <si>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</si>
  <si>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</si>
  <si>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</si>
  <si>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</si>
  <si>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</si>
  <si>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</si>
  <si>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</si>
  <si>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</si>
  <si>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</si>
  <si>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</si>
  <si>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</si>
  <si>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</si>
  <si>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</si>
  <si>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</si>
  <si>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</si>
  <si>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</si>
  <si>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</si>
  <si>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</si>
  <si>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</si>
  <si>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</si>
  <si>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</si>
  <si>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</si>
  <si>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</si>
  <si>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</si>
  <si>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</si>
  <si>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</si>
  <si>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</si>
  <si>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</si>
  <si>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</si>
  <si>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</si>
  <si>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</si>
  <si>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</si>
  <si>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</si>
  <si>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</si>
  <si>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</si>
  <si>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</si>
  <si>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</si>
  <si>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</si>
  <si>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</si>
  <si>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</si>
  <si>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</si>
  <si>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</si>
  <si>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</si>
  <si>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</si>
  <si>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</si>
  <si>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</si>
  <si>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</si>
  <si>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</si>
  <si>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</si>
  <si>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</si>
  <si>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</si>
  <si>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</si>
  <si>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</si>
  <si>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</si>
  <si>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</si>
  <si>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</si>
  <si>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</si>
  <si>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</si>
  <si>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</si>
  <si>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</si>
  <si>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</si>
  <si>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</si>
  <si>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</si>
  <si>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</si>
  <si>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</si>
  <si>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</si>
  <si>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</si>
  <si>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</si>
  <si>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</si>
  <si>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</si>
  <si>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</si>
  <si>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</si>
  <si>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</si>
  <si>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</si>
  <si>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</si>
  <si>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</si>
  <si>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</si>
  <si>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</si>
  <si>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</si>
  <si>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</si>
  <si>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</si>
  <si>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</si>
  <si>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</si>
  <si>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</si>
  <si>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</si>
  <si>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</si>
  <si>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</si>
  <si>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</si>
  <si>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</si>
  <si>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</si>
  <si>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</si>
  <si>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</si>
  <si>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</si>
  <si>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</si>
  <si>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</si>
  <si>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</si>
  <si>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</si>
  <si>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</si>
  <si>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</si>
  <si>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</si>
  <si>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</si>
  <si>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</si>
  <si>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</si>
  <si>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</si>
  <si>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</si>
  <si>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</si>
  <si>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</si>
  <si>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</si>
  <si>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</si>
  <si>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</si>
  <si>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</si>
  <si>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</si>
  <si>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</si>
  <si>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</si>
  <si>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</si>
  <si>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</si>
  <si>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(fuel pumps)</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</si>
  <si>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</si>
  <si>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</si>
  <si>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</si>
  <si>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</si>
  <si>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</si>
  <si>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</si>
  <si>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</si>
  <si>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</si>
  <si>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</si>
  <si>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</si>
  <si>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</si>
  <si>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</si>
  <si>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</si>
  <si>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</si>
  <si>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</si>
  <si>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</si>
  <si>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</si>
  <si>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</si>
  <si>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</si>
  <si>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</si>
  <si>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</si>
  <si>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</si>
  <si>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</si>
  <si>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</si>
  <si>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</si>
  <si>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</si>
  <si>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200m2-299m2)</t>
  </si>
  <si>
    <t>Vacant lot (Otherzonings on lots 300m2-399ms)</t>
  </si>
  <si>
    <t>Vacant lot (Res. &amp; EC zonings on lots &lt;200m2)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</si>
  <si>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</si>
  <si>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</si>
  <si>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</si>
  <si>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</si>
  <si>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</si>
  <si>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</si>
  <si>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</si>
  <si>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</si>
  <si>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</si>
  <si>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</si>
  <si>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</si>
  <si>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</si>
  <si>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</si>
  <si>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</si>
  <si>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</si>
  <si>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</si>
  <si>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</si>
  <si>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</si>
  <si>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</si>
  <si>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</si>
  <si>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</si>
  <si>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</si>
  <si>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</si>
  <si>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t>
  </si>
  <si>
    <t>m2 GFA</t>
  </si>
  <si>
    <t>Caretaker's accommodation (1 bedroom)</t>
  </si>
  <si>
    <t>Caretaker's accommodation (2 bedroom)</t>
  </si>
  <si>
    <t>Caretaker's accommodation (3 or more bedrooms)</t>
  </si>
  <si>
    <t>Bedrooms</t>
  </si>
  <si>
    <t>Dwelling house (2 bedroom)</t>
  </si>
  <si>
    <t>Dwelling house (on lots &lt; 200m2)</t>
  </si>
  <si>
    <t>Dwelling house (on lots 200m2-299m2)</t>
  </si>
  <si>
    <t>Dwelling house (on lots 300m2-399m2)</t>
  </si>
  <si>
    <t>Food and drink outlet (Catering shop)</t>
  </si>
  <si>
    <t>Food and drink outlet (Fast food outlet)</t>
  </si>
  <si>
    <t>Food and drink outlet (Restaurant)</t>
  </si>
  <si>
    <t>Home based business (Rural)</t>
  </si>
  <si>
    <t>Home based business (Urban)</t>
  </si>
  <si>
    <t>Hotel (Non-accomodation)</t>
  </si>
  <si>
    <t>Indoor sport and recreation (Other court areas)</t>
  </si>
  <si>
    <t>Indoor sport and recreation (Other non-court areas)</t>
  </si>
  <si>
    <t>Nightclub entertainment facility</t>
  </si>
  <si>
    <t>Bed</t>
  </si>
  <si>
    <t xml:space="preserve">Office </t>
  </si>
  <si>
    <t>Dwelling site</t>
  </si>
  <si>
    <t>Relocatable home park (Urban 1 bedroom)</t>
  </si>
  <si>
    <t>Relocatable home park (Urban 2 bedrooms)</t>
  </si>
  <si>
    <t>Relocatable home park (Urban 3 or more bedrooms)</t>
  </si>
  <si>
    <t>Retirement facility (Non-self-contained)</t>
  </si>
  <si>
    <t>Retirement facility (Self-contained 1 bedroom suite)</t>
  </si>
  <si>
    <t>Dwellings</t>
  </si>
  <si>
    <t>Retirement facility (Self-contained 2 bedroom suite)</t>
  </si>
  <si>
    <t>Retirement facility (Self-contained 3 or more bedroom suite)</t>
  </si>
  <si>
    <t>Rooming accomodation (1 bedroom suite)</t>
  </si>
  <si>
    <t>Rooming accomodation (2 bedroom suite)</t>
  </si>
  <si>
    <t>Rooming accomodation (3 or more bedroom suite)</t>
  </si>
  <si>
    <t>Rooming accomodation (bedroom non-suite &lt;6 beds)</t>
  </si>
  <si>
    <t>Rooming accomodation (bedroom non-suite 6 or more beds)</t>
  </si>
  <si>
    <t>Service station (Domestic (other))</t>
  </si>
  <si>
    <t>Service station (Domestic (vehicle repair component))</t>
  </si>
  <si>
    <t>Shopping centre (&gt; 50,000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</si>
  <si>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</si>
  <si>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</si>
  <si>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</si>
  <si>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</si>
  <si>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</si>
  <si>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</si>
  <si>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</si>
  <si>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</si>
  <si>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Short-term accommodation (Self-contained 2 bedrooms)</t>
  </si>
  <si>
    <t>Short-term accommodation (Self-contained 3 or more bedrooms)</t>
  </si>
  <si>
    <t>Showroom (Other)</t>
  </si>
  <si>
    <t>Showroom (Vehicle)</t>
  </si>
  <si>
    <t>Warehouse (Lockup storage units)</t>
  </si>
  <si>
    <t>Assume plot ratio of 5%</t>
  </si>
  <si>
    <t>Converted to suites x no. of bedrooms</t>
  </si>
  <si>
    <t>Assume 50% plot ratio</t>
  </si>
  <si>
    <t>Converted to GFA by 110 beds per 1,200m2 at Rowes Bay (10.9m2 per bed)</t>
  </si>
  <si>
    <t>Converted from Dwelling by 100m2 GFA</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</si>
  <si>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</si>
  <si>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</si>
  <si>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</si>
  <si>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</si>
  <si>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</si>
  <si>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</si>
  <si>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</si>
  <si>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</si>
  <si>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</si>
  <si>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</si>
  <si>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</si>
  <si>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</si>
  <si>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</si>
  <si>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</si>
  <si>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</si>
  <si>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</si>
  <si>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</si>
  <si>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</si>
  <si>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</si>
  <si>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</si>
  <si>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</si>
  <si>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Notes:</t>
  </si>
  <si>
    <t>Proposed use - demand: for split purposes only</t>
  </si>
  <si>
    <t>Credit use - demand: for split purposes only</t>
  </si>
  <si>
    <t>User costs (Dec '17): for split purposes only</t>
  </si>
  <si>
    <t>Unit demand costs (Dec'17): used for charge split purposes only</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</si>
  <si>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</si>
  <si>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</si>
  <si>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</si>
  <si>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</si>
  <si>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</si>
  <si>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</si>
  <si>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</si>
  <si>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RBCI Smoothed</t>
  </si>
  <si>
    <t>Unit demand costs as per the LGIP costings - see Irwin (2017) LGIP charge derivation model v1 (25.5.17), as used in the development of the infrastructure charges resolution. Rates left in Dec '17 terms deliberately as only relevant for splits.</t>
  </si>
  <si>
    <t>General</t>
  </si>
  <si>
    <t>2. NOVOPLAN, infrastructure charge notices, invoices and other formal advice from council prevail where there is a discrepancy to this calculator.</t>
  </si>
  <si>
    <r>
      <t xml:space="preserve">4. Save the spreadsheet  </t>
    </r>
    <r>
      <rPr>
        <sz val="11"/>
        <rFont val="Arial"/>
        <family val="2"/>
      </rPr>
      <t>for later reference.</t>
    </r>
  </si>
  <si>
    <t>1. Retrieve the calculation file</t>
  </si>
  <si>
    <r>
      <t xml:space="preserve">7. Save the spreadsheet </t>
    </r>
    <r>
      <rPr>
        <sz val="11"/>
        <rFont val="Arial"/>
        <family val="2"/>
      </rPr>
      <t>for record purposes.</t>
    </r>
  </si>
  <si>
    <t>Shopping centre  (&gt; 50,000 m² GFA)</t>
  </si>
  <si>
    <t>Caretaker's accommodation (detached dwelling, 3 or more bedrooms on site  400m2-499m2)</t>
  </si>
  <si>
    <t>Caretaker's accommodation (detached dwelling, 3 or more bedrooms on site  ≥ 500m2)</t>
  </si>
  <si>
    <t>Dwelling house (3 or more bedrooms on lots 400m2-499m2)</t>
  </si>
  <si>
    <t>Dwelling house (3 or more bedrooms on lots ≥ 500m2)</t>
  </si>
  <si>
    <t>Vacant lot (Other zonings on lots ≥ 500m2)</t>
  </si>
  <si>
    <t>Vacant lot (Res. &amp; EC zonings on lots 400m2-499m2)</t>
  </si>
  <si>
    <t>Vacant lot (Res. &amp; EC zonings on lots ≥ 500m2)</t>
  </si>
  <si>
    <t xml:space="preserve"> -   </t>
  </si>
  <si>
    <t>Dwelling house (on lots 400m2-499m2)</t>
  </si>
  <si>
    <t>Tourist park (Cabin -  3 or more bedroom)</t>
  </si>
  <si>
    <t>Caretaker's accommodation (1 or 2 bedroom)</t>
  </si>
  <si>
    <t>Dwelling house (on lots &gt;500m2)</t>
  </si>
  <si>
    <t>Vacant lot (Other zonings on lots 400m2-499m2m2)</t>
  </si>
  <si>
    <t>Flag if charge exceeds cap</t>
  </si>
  <si>
    <t>C1 - Toomulla (areas on sewer)</t>
  </si>
  <si>
    <t>C2 - Toomulla (water, no sewer)</t>
  </si>
  <si>
    <t>C2</t>
  </si>
  <si>
    <t>C1</t>
  </si>
  <si>
    <t>Location</t>
  </si>
  <si>
    <t>A1</t>
  </si>
  <si>
    <t>A2</t>
  </si>
  <si>
    <t>Residential</t>
  </si>
  <si>
    <t>Non-residential</t>
  </si>
  <si>
    <t>Location (see map)</t>
  </si>
  <si>
    <t>1. The processing of infrastructure charges is moving towards being facilitated within Townsville City Council via NOVOPLAN</t>
  </si>
  <si>
    <t>Cap ($/unit)</t>
  </si>
  <si>
    <t>Statutory caps</t>
  </si>
  <si>
    <t>3a.</t>
  </si>
  <si>
    <t>Last published RBCI quarter</t>
  </si>
  <si>
    <t>Smoothed RBCI for that quarter</t>
  </si>
  <si>
    <t>Schedule 1 - Building works subject to infrastructure charges</t>
  </si>
  <si>
    <t>Y</t>
  </si>
  <si>
    <t>Low Density Residential</t>
  </si>
  <si>
    <t>Medium Density Residential</t>
  </si>
  <si>
    <t>High Density Residential</t>
  </si>
  <si>
    <t>Rural Residential</t>
  </si>
  <si>
    <t>Character Residential</t>
  </si>
  <si>
    <t>Neighbourhood Centre</t>
  </si>
  <si>
    <t>Local Centre</t>
  </si>
  <si>
    <t>District Centre</t>
  </si>
  <si>
    <t>Major Centre</t>
  </si>
  <si>
    <t>Principal Centre</t>
  </si>
  <si>
    <t>Sub-regional Centre</t>
  </si>
  <si>
    <t>Mixed Use</t>
  </si>
  <si>
    <t>Sport and Recreation</t>
  </si>
  <si>
    <t>Open Space</t>
  </si>
  <si>
    <t>Community Facilities</t>
  </si>
  <si>
    <t>Conservation</t>
  </si>
  <si>
    <t>Low Impact Industry</t>
  </si>
  <si>
    <t>Medium Impact Industry</t>
  </si>
  <si>
    <t>High Impact Industry</t>
  </si>
  <si>
    <t>Rural</t>
  </si>
  <si>
    <t>Emerging Communities</t>
  </si>
  <si>
    <t>Zoning</t>
  </si>
  <si>
    <t>Schedule 1 flag</t>
  </si>
  <si>
    <t>Check</t>
  </si>
  <si>
    <t>Tourist park - remote (Cabin - 1 or 2 bedroom)</t>
  </si>
  <si>
    <t>Tourist park - remote (Cabin - 3 or more bedrooms)</t>
  </si>
  <si>
    <t>Tourist park - remote (Tent/van site - group of 1 or 2)</t>
  </si>
  <si>
    <t>Tourist park - remote (Tent/van site - group of 3)</t>
  </si>
  <si>
    <r>
      <t xml:space="preserve">Tourist park - </t>
    </r>
    <r>
      <rPr>
        <sz val="11"/>
        <color rgb="FFFF0000"/>
        <rFont val="Arial"/>
        <family val="2"/>
      </rPr>
      <t>central</t>
    </r>
    <r>
      <rPr>
        <sz val="11"/>
        <rFont val="Arial"/>
        <family val="2"/>
      </rPr>
      <t xml:space="preserve"> (Cabin - 1 or 2 bedroom)</t>
    </r>
  </si>
  <si>
    <r>
      <t xml:space="preserve">Tourist park - </t>
    </r>
    <r>
      <rPr>
        <sz val="11"/>
        <color rgb="FFFF0000"/>
        <rFont val="Arial"/>
        <family val="2"/>
      </rPr>
      <t>central</t>
    </r>
    <r>
      <rPr>
        <sz val="11"/>
        <rFont val="Arial"/>
        <family val="2"/>
      </rPr>
      <t xml:space="preserve"> (Cabin - 3 or more bedrooms)</t>
    </r>
  </si>
  <si>
    <r>
      <t xml:space="preserve">Tourist park - </t>
    </r>
    <r>
      <rPr>
        <sz val="11"/>
        <color rgb="FFFF0000"/>
        <rFont val="Arial"/>
        <family val="2"/>
      </rPr>
      <t>central</t>
    </r>
    <r>
      <rPr>
        <sz val="11"/>
        <rFont val="Arial"/>
        <family val="2"/>
      </rPr>
      <t xml:space="preserve"> (Tent/van site - group of 1 or 2)</t>
    </r>
  </si>
  <si>
    <r>
      <t xml:space="preserve">Tourist park - </t>
    </r>
    <r>
      <rPr>
        <sz val="11"/>
        <color rgb="FFFF0000"/>
        <rFont val="Arial"/>
        <family val="2"/>
      </rPr>
      <t>central</t>
    </r>
    <r>
      <rPr>
        <sz val="11"/>
        <rFont val="Arial"/>
        <family val="2"/>
      </rPr>
      <t xml:space="preserve"> (Tent/van site - group of 3)</t>
    </r>
  </si>
  <si>
    <t>Standard demand rates as derived per Irwin (2019) LGIP charge derivation model v7A (190709): used for charge split purposes only. In add. Tourist park remote is 25% less occupancy than central.</t>
  </si>
  <si>
    <t xml:space="preserve">Based on the 2021/22 Infrastructure charges resolution </t>
  </si>
  <si>
    <t>1. Ensure the calculator is relevant to the application (i.e., must be decided after 30 June 2021)</t>
  </si>
  <si>
    <t>3. Check the calculation file is the latest sub-version (e.g., version 17.2 supersedes version 17.1)</t>
  </si>
  <si>
    <t>Base Charge ($Dec'21)</t>
  </si>
  <si>
    <r>
      <t>Service areas &amp; location factors as per the Charges Resolution</t>
    </r>
    <r>
      <rPr>
        <sz val="11"/>
        <color rgb="FFFF0000"/>
        <rFont val="Arial"/>
        <family val="2"/>
      </rPr>
      <t xml:space="preserve"> (29 June 2021).</t>
    </r>
    <r>
      <rPr>
        <sz val="11"/>
        <rFont val="Arial"/>
        <family val="2"/>
      </rPr>
      <t xml:space="preserve"> Factors should have changed but were incorrectly translated from a track change document. </t>
    </r>
  </si>
  <si>
    <t>Service station (other)</t>
  </si>
  <si>
    <t>Car wash (auto.)</t>
  </si>
  <si>
    <t>wash bay</t>
  </si>
  <si>
    <t>Car wash (self-serve)</t>
  </si>
  <si>
    <t>Car wash (mini tunnel)</t>
  </si>
  <si>
    <t>tunnel</t>
  </si>
  <si>
    <t>Car wash (auto., 50% re-use)</t>
  </si>
  <si>
    <t>Car wash (self-serve, 50% re-use)</t>
  </si>
  <si>
    <t>Car wash (mini tunnel, 50% re-use)</t>
  </si>
  <si>
    <t>Background splits for the charge are facilitated</t>
  </si>
  <si>
    <t>Charge and offset split amount and redistirbution - at time of charge notice</t>
  </si>
  <si>
    <t>Proposed use ($)</t>
  </si>
  <si>
    <t>Credit use - potential ($)</t>
  </si>
  <si>
    <t>Credit ($)</t>
  </si>
  <si>
    <t>Redistributed Amount ($)</t>
  </si>
  <si>
    <t>Split (%)</t>
  </si>
  <si>
    <t>Redistributed credit ($)</t>
  </si>
  <si>
    <t>Inflationary adjustment - automation</t>
  </si>
  <si>
    <t>Alignment of QPP definitions (&amp; variants) to charges from infrastructure charges resolution (23.6.21) &amp; Prescribed Amounts in Planning Regulatin 2017 (1.7.21)</t>
  </si>
  <si>
    <t>Charge category</t>
  </si>
  <si>
    <t>Prescribed Amount 
($ Jul '21)</t>
  </si>
  <si>
    <t>Prescribed Amount 
($ INDEXED)</t>
  </si>
  <si>
    <t>Base</t>
  </si>
  <si>
    <t>Indexed</t>
  </si>
  <si>
    <t>Resolution rate ($/unit)</t>
  </si>
  <si>
    <t>Adopted</t>
  </si>
  <si>
    <t>References: Loaded Planning Regulation 2017 (1.7.21) caps. Calculation: At payment, applicable rates - corrected for inflation adjustment &amp; reference cell (i.e. not cap)</t>
  </si>
  <si>
    <t>Prescribed Amount ($/unit)</t>
  </si>
  <si>
    <t>Inflationary adjustment (incl. Dec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</si>
</sst>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 numFmtId="171" formatCode="_-* #,##0.0000_-;\-* #,##0.0000_-;_-* &quot;-&quot;??_-;_-@_-"/>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u/>
      <sz val="11"/>
      <color theme="1"/>
      <name val="Arial"/>
      <family val="2"/>
    </font>
    <font>
      <b/>
      <sz val="14"/>
      <color theme="1"/>
      <name val="Arial Narrow"/>
      <family val="2"/>
    </font>
    <font>
      <sz val="11"/>
      <color rgb="FFFF0000"/>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hair">
        <color indexed="64"/>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360">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22"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2"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98" fillId="54" borderId="0" xfId="20083" applyFont="1" applyFill="1"/>
    <xf numFmtId="0" fontId="49" fillId="56" borderId="10" xfId="20083" applyFont="1" applyFill="1" applyBorder="1" applyAlignment="1">
      <alignment vertical="top" wrapText="1"/>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628"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0" fontId="99" fillId="54" borderId="0" xfId="20098" applyFont="1" applyFill="1"/>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3" fillId="56" borderId="11" xfId="20098" applyFont="1" applyFill="1" applyBorder="1"/>
    <xf numFmtId="0" fontId="53" fillId="56" borderId="13" xfId="20098" applyFont="1" applyFill="1" applyBorder="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0" fontId="51" fillId="54" borderId="21" xfId="0" applyFont="1" applyFill="1" applyBorder="1"/>
    <xf numFmtId="43" fontId="51" fillId="54" borderId="34" xfId="1474" applyFont="1" applyFill="1" applyBorder="1" applyAlignment="1">
      <alignment horizontal="right"/>
    </xf>
    <xf numFmtId="0" fontId="50" fillId="64" borderId="0" xfId="20098" applyFont="1" applyFill="1" applyAlignment="1">
      <alignment vertical="top"/>
    </xf>
    <xf numFmtId="43" fontId="49" fillId="64" borderId="0" xfId="1474" applyFont="1" applyFill="1" applyAlignment="1">
      <alignment horizontal="right"/>
    </xf>
    <xf numFmtId="165" fontId="49" fillId="64" borderId="0" xfId="1474" applyNumberFormat="1" applyFont="1" applyFill="1" applyAlignment="1">
      <alignment horizontal="right"/>
    </xf>
    <xf numFmtId="0" fontId="49" fillId="64" borderId="0" xfId="20098" applyFont="1" applyFill="1"/>
    <xf numFmtId="43" fontId="49" fillId="64" borderId="0" xfId="1474" applyFont="1" applyFill="1"/>
    <xf numFmtId="0" fontId="58" fillId="64" borderId="0" xfId="20098" applyFont="1" applyFill="1" applyAlignment="1">
      <alignment textRotation="90"/>
    </xf>
    <xf numFmtId="0" fontId="5" fillId="64" borderId="0" xfId="0" applyFont="1" applyFill="1"/>
    <xf numFmtId="0" fontId="98" fillId="64" borderId="0" xfId="20098" applyFont="1" applyFill="1"/>
    <xf numFmtId="43" fontId="5" fillId="64" borderId="0" xfId="1474" applyFont="1" applyFill="1"/>
    <xf numFmtId="0" fontId="78" fillId="64" borderId="0" xfId="0" applyFont="1" applyFill="1"/>
    <xf numFmtId="0" fontId="51" fillId="64" borderId="33" xfId="20098" applyFont="1" applyFill="1" applyBorder="1"/>
    <xf numFmtId="43" fontId="51" fillId="64" borderId="33" xfId="1474" applyFont="1" applyFill="1" applyBorder="1" applyAlignment="1">
      <alignment horizontal="right"/>
    </xf>
    <xf numFmtId="0" fontId="5" fillId="64" borderId="33" xfId="0" applyFont="1" applyFill="1" applyBorder="1"/>
    <xf numFmtId="43" fontId="5" fillId="64" borderId="33" xfId="1474" applyFont="1" applyFill="1" applyBorder="1"/>
    <xf numFmtId="0" fontId="51" fillId="64" borderId="34" xfId="20098" applyFont="1" applyFill="1" applyBorder="1"/>
    <xf numFmtId="43" fontId="51" fillId="64" borderId="34" xfId="1474" applyFont="1" applyFill="1" applyBorder="1" applyAlignment="1">
      <alignment horizontal="right"/>
    </xf>
    <xf numFmtId="0" fontId="5" fillId="64" borderId="34" xfId="0" applyFont="1" applyFill="1" applyBorder="1"/>
    <xf numFmtId="43" fontId="5" fillId="64" borderId="34" xfId="1474" applyFont="1" applyFill="1" applyBorder="1"/>
    <xf numFmtId="0" fontId="5" fillId="64" borderId="36" xfId="0" applyFont="1" applyFill="1" applyBorder="1"/>
    <xf numFmtId="0" fontId="97" fillId="64" borderId="34" xfId="0" applyFont="1" applyFill="1" applyBorder="1"/>
    <xf numFmtId="43" fontId="97" fillId="64" borderId="34" xfId="1474" applyFont="1" applyFill="1" applyBorder="1"/>
    <xf numFmtId="43" fontId="5" fillId="64" borderId="36" xfId="1474" applyFont="1" applyFill="1" applyBorder="1"/>
    <xf numFmtId="0" fontId="51" fillId="64" borderId="36" xfId="20098" applyFont="1" applyFill="1" applyBorder="1"/>
    <xf numFmtId="43" fontId="51" fillId="64" borderId="36" xfId="1474" applyFont="1" applyFill="1" applyBorder="1" applyAlignment="1">
      <alignment horizontal="right"/>
    </xf>
    <xf numFmtId="43" fontId="5" fillId="64" borderId="0" xfId="1474" applyFont="1" applyFill="1" applyAlignment="1">
      <alignment horizontal="right"/>
    </xf>
    <xf numFmtId="165" fontId="5" fillId="64" borderId="0" xfId="1474" applyNumberFormat="1" applyFont="1" applyFill="1" applyAlignment="1">
      <alignment horizontal="right"/>
    </xf>
    <xf numFmtId="0" fontId="49" fillId="65" borderId="10" xfId="20098" applyFont="1" applyFill="1" applyBorder="1" applyAlignment="1">
      <alignment horizontal="center" vertical="center" wrapText="1"/>
    </xf>
    <xf numFmtId="43" fontId="49" fillId="65" borderId="10" xfId="1474" applyFont="1" applyFill="1" applyBorder="1" applyAlignment="1">
      <alignment horizontal="center" vertical="center" wrapText="1"/>
    </xf>
    <xf numFmtId="43" fontId="51" fillId="54" borderId="33" xfId="1474" applyFont="1" applyFill="1" applyBorder="1" applyAlignment="1">
      <alignment horizontal="right"/>
    </xf>
    <xf numFmtId="0" fontId="100" fillId="64" borderId="34" xfId="20098" applyFont="1" applyFill="1" applyBorder="1"/>
    <xf numFmtId="43" fontId="100" fillId="64" borderId="34" xfId="1474" applyFont="1" applyFill="1" applyBorder="1" applyAlignment="1">
      <alignment horizontal="right"/>
    </xf>
    <xf numFmtId="0" fontId="97" fillId="64" borderId="0" xfId="0" applyFont="1" applyFill="1"/>
    <xf numFmtId="171" fontId="5" fillId="64" borderId="0" xfId="0" applyNumberFormat="1" applyFont="1" applyFill="1"/>
    <xf numFmtId="171" fontId="5" fillId="64" borderId="33" xfId="1474" applyNumberFormat="1" applyFont="1" applyFill="1" applyBorder="1"/>
    <xf numFmtId="171" fontId="5" fillId="64" borderId="34" xfId="1474" applyNumberFormat="1" applyFont="1" applyFill="1" applyBorder="1"/>
    <xf numFmtId="171" fontId="97" fillId="64" borderId="34" xfId="1474" applyNumberFormat="1" applyFont="1" applyFill="1" applyBorder="1"/>
    <xf numFmtId="171" fontId="5" fillId="64" borderId="36" xfId="1474" applyNumberFormat="1" applyFont="1" applyFill="1" applyBorder="1"/>
    <xf numFmtId="0" fontId="51" fillId="65" borderId="11" xfId="20098" applyFont="1" applyFill="1" applyBorder="1" applyAlignment="1">
      <alignment horizontal="center" vertical="center" wrapText="1"/>
    </xf>
    <xf numFmtId="0" fontId="51" fillId="65" borderId="10" xfId="20098" applyFont="1" applyFill="1" applyBorder="1" applyAlignment="1">
      <alignment horizontal="center" vertical="center" wrapText="1"/>
    </xf>
    <xf numFmtId="165" fontId="51" fillId="64" borderId="33" xfId="1474" applyNumberFormat="1" applyFont="1" applyFill="1" applyBorder="1"/>
    <xf numFmtId="165" fontId="51" fillId="64" borderId="34" xfId="1474" applyNumberFormat="1" applyFont="1" applyFill="1" applyBorder="1"/>
    <xf numFmtId="0" fontId="53" fillId="57" borderId="11" xfId="20098" applyFont="1" applyFill="1" applyBorder="1"/>
    <xf numFmtId="0" fontId="53" fillId="57" borderId="12" xfId="20098" applyFont="1" applyFill="1" applyBorder="1"/>
    <xf numFmtId="0" fontId="53" fillId="57" borderId="13" xfId="20098" applyFont="1" applyFill="1" applyBorder="1"/>
    <xf numFmtId="43" fontId="53" fillId="56" borderId="10" xfId="1474" applyFont="1" applyFill="1" applyBorder="1" applyAlignment="1" applyProtection="1">
      <alignment horizontal="center"/>
      <protection locked="0"/>
    </xf>
    <xf numFmtId="0" fontId="53" fillId="57" borderId="10" xfId="20098" applyFont="1" applyFill="1" applyBorder="1"/>
    <xf numFmtId="165" fontId="53" fillId="56" borderId="10" xfId="20098" applyNumberFormat="1" applyFont="1" applyFill="1" applyBorder="1" applyAlignment="1">
      <alignment horizontal="center" vertical="center"/>
    </xf>
    <xf numFmtId="165" fontId="53" fillId="56" borderId="10" xfId="20098" applyNumberFormat="1" applyFont="1" applyFill="1" applyBorder="1" applyAlignment="1">
      <alignment vertical="center"/>
    </xf>
    <xf numFmtId="165" fontId="57" fillId="56" borderId="27" xfId="1474" applyNumberFormat="1" applyFont="1" applyFill="1" applyBorder="1" applyAlignment="1" applyProtection="1"/>
    <xf numFmtId="165" fontId="57" fillId="56" borderId="30" xfId="1474" applyNumberFormat="1" applyFont="1" applyFill="1" applyBorder="1" applyAlignment="1" applyProtection="1"/>
    <xf numFmtId="165" fontId="57" fillId="56" borderId="53" xfId="1474" applyNumberFormat="1" applyFont="1" applyFill="1" applyBorder="1" applyAlignment="1" applyProtection="1"/>
    <xf numFmtId="0" fontId="57" fillId="57" borderId="12" xfId="20098" applyFont="1" applyFill="1" applyBorder="1" applyAlignment="1">
      <alignment vertical="center" wrapText="1"/>
    </xf>
    <xf numFmtId="43" fontId="53" fillId="54" borderId="0" xfId="20098" applyNumberFormat="1" applyFont="1" applyFill="1"/>
    <xf numFmtId="0" fontId="53" fillId="56" borderId="26" xfId="20098" applyFont="1" applyFill="1" applyBorder="1"/>
    <xf numFmtId="0" fontId="53" fillId="56" borderId="27" xfId="20098" applyFont="1" applyFill="1" applyBorder="1"/>
    <xf numFmtId="0" fontId="53" fillId="56" borderId="32" xfId="20098" applyFont="1" applyFill="1" applyBorder="1"/>
    <xf numFmtId="0" fontId="53" fillId="56" borderId="53" xfId="20098" applyFont="1" applyFill="1" applyBorder="1"/>
    <xf numFmtId="0" fontId="53" fillId="56" borderId="29" xfId="20098" applyFont="1" applyFill="1" applyBorder="1"/>
    <xf numFmtId="0" fontId="53" fillId="56" borderId="30" xfId="20098" applyFont="1" applyFill="1" applyBorder="1"/>
    <xf numFmtId="169" fontId="57" fillId="56" borderId="36" xfId="20098" applyNumberFormat="1" applyFont="1" applyFill="1" applyBorder="1" applyAlignment="1">
      <alignment horizontal="center"/>
    </xf>
    <xf numFmtId="166" fontId="57" fillId="56" borderId="51" xfId="1474" applyNumberFormat="1" applyFont="1" applyFill="1" applyBorder="1"/>
    <xf numFmtId="0" fontId="53" fillId="56" borderId="28" xfId="20098" applyFont="1" applyFill="1" applyBorder="1"/>
    <xf numFmtId="0" fontId="53" fillId="56" borderId="31" xfId="20098" applyFont="1" applyFill="1" applyBorder="1"/>
    <xf numFmtId="168" fontId="53" fillId="55" borderId="29" xfId="20098" applyNumberFormat="1" applyFont="1" applyFill="1" applyBorder="1" applyAlignment="1" applyProtection="1">
      <alignment horizontal="left"/>
      <protection locked="0"/>
    </xf>
    <xf numFmtId="168" fontId="53" fillId="55" borderId="30" xfId="20098" applyNumberFormat="1" applyFont="1" applyFill="1" applyBorder="1" applyAlignment="1" applyProtection="1">
      <alignment horizontal="left"/>
      <protection locked="0"/>
    </xf>
    <xf numFmtId="168" fontId="53" fillId="55" borderId="31" xfId="20098" applyNumberFormat="1" applyFont="1" applyFill="1" applyBorder="1" applyAlignment="1" applyProtection="1">
      <alignment horizontal="left"/>
      <protection locked="0"/>
    </xf>
    <xf numFmtId="0" fontId="53" fillId="56" borderId="51" xfId="20098" applyFont="1" applyFill="1" applyBorder="1"/>
    <xf numFmtId="168" fontId="53" fillId="55" borderId="32" xfId="20098" applyNumberFormat="1" applyFont="1" applyFill="1" applyBorder="1" applyAlignment="1" applyProtection="1">
      <alignment horizontal="left"/>
      <protection locked="0"/>
    </xf>
    <xf numFmtId="168" fontId="53" fillId="55" borderId="53" xfId="20098" applyNumberFormat="1" applyFont="1" applyFill="1" applyBorder="1" applyAlignment="1" applyProtection="1">
      <alignment horizontal="left"/>
      <protection locked="0"/>
    </xf>
    <xf numFmtId="168" fontId="53" fillId="55" borderId="51" xfId="20098" applyNumberFormat="1" applyFont="1" applyFill="1" applyBorder="1" applyAlignment="1" applyProtection="1">
      <alignment horizontal="left"/>
      <protection locked="0"/>
    </xf>
    <xf numFmtId="0" fontId="53" fillId="56" borderId="33" xfId="20098" applyFont="1" applyFill="1" applyBorder="1" applyAlignment="1">
      <alignment horizontal="center" vertical="center"/>
    </xf>
    <xf numFmtId="165" fontId="53" fillId="55" borderId="33" xfId="1474" applyNumberFormat="1" applyFont="1" applyFill="1" applyBorder="1" applyProtection="1">
      <protection locked="0"/>
    </xf>
    <xf numFmtId="43" fontId="53" fillId="56" borderId="33" xfId="1474" applyFont="1" applyFill="1" applyBorder="1" applyAlignment="1">
      <alignment horizontal="right" vertical="center"/>
    </xf>
    <xf numFmtId="43" fontId="53" fillId="56" borderId="33" xfId="1474" applyFont="1" applyFill="1" applyBorder="1" applyProtection="1">
      <protection locked="0"/>
    </xf>
    <xf numFmtId="43" fontId="53" fillId="56" borderId="33" xfId="1474" applyFont="1" applyFill="1" applyBorder="1"/>
    <xf numFmtId="165" fontId="53" fillId="56" borderId="33" xfId="1474" applyNumberFormat="1" applyFont="1" applyFill="1" applyBorder="1"/>
    <xf numFmtId="0" fontId="53" fillId="56" borderId="34" xfId="20098" applyFont="1" applyFill="1" applyBorder="1" applyAlignment="1">
      <alignment horizontal="center" vertical="center"/>
    </xf>
    <xf numFmtId="165" fontId="53" fillId="55" borderId="34" xfId="1474" applyNumberFormat="1" applyFont="1" applyFill="1" applyBorder="1" applyProtection="1">
      <protection locked="0"/>
    </xf>
    <xf numFmtId="43" fontId="53" fillId="56" borderId="34" xfId="1474" applyFont="1" applyFill="1" applyBorder="1" applyAlignment="1">
      <alignment horizontal="right" vertical="center"/>
    </xf>
    <xf numFmtId="43" fontId="53" fillId="56" borderId="34" xfId="1474" applyFont="1" applyFill="1" applyBorder="1" applyProtection="1">
      <protection locked="0"/>
    </xf>
    <xf numFmtId="43" fontId="53" fillId="56" borderId="34" xfId="1474" applyFont="1" applyFill="1" applyBorder="1"/>
    <xf numFmtId="165" fontId="53" fillId="56" borderId="34" xfId="1474" applyNumberFormat="1" applyFont="1" applyFill="1" applyBorder="1"/>
    <xf numFmtId="0" fontId="53" fillId="56" borderId="36" xfId="20098" applyFont="1" applyFill="1" applyBorder="1" applyAlignment="1">
      <alignment horizontal="center" vertical="center"/>
    </xf>
    <xf numFmtId="165" fontId="53" fillId="55" borderId="36" xfId="1474" applyNumberFormat="1" applyFont="1" applyFill="1" applyBorder="1" applyProtection="1">
      <protection locked="0"/>
    </xf>
    <xf numFmtId="43" fontId="53" fillId="56" borderId="36" xfId="1474" applyFont="1" applyFill="1" applyBorder="1" applyAlignment="1">
      <alignment horizontal="right" vertical="center"/>
    </xf>
    <xf numFmtId="43" fontId="53" fillId="56" borderId="36" xfId="1474" applyFont="1" applyFill="1" applyBorder="1" applyProtection="1">
      <protection locked="0"/>
    </xf>
    <xf numFmtId="43" fontId="53" fillId="56" borderId="36" xfId="1474" applyFont="1" applyFill="1" applyBorder="1"/>
    <xf numFmtId="165" fontId="53" fillId="56" borderId="36" xfId="1474" applyNumberFormat="1" applyFont="1" applyFill="1" applyBorder="1"/>
    <xf numFmtId="169" fontId="57" fillId="56" borderId="33" xfId="20098" applyNumberFormat="1" applyFont="1" applyFill="1" applyBorder="1" applyAlignment="1">
      <alignment horizontal="center"/>
    </xf>
    <xf numFmtId="164" fontId="57" fillId="56" borderId="28" xfId="1474" applyNumberFormat="1" applyFont="1" applyFill="1" applyBorder="1"/>
    <xf numFmtId="0" fontId="53" fillId="56" borderId="36" xfId="20098" applyFont="1" applyFill="1" applyBorder="1" applyAlignment="1">
      <alignment horizontal="center"/>
    </xf>
    <xf numFmtId="0" fontId="5" fillId="64" borderId="0" xfId="0" applyFont="1" applyFill="1" applyAlignment="1">
      <alignment horizontal="center"/>
    </xf>
    <xf numFmtId="0" fontId="51" fillId="64" borderId="34" xfId="20098" applyFont="1" applyFill="1" applyBorder="1" applyAlignment="1">
      <alignment horizontal="center"/>
    </xf>
    <xf numFmtId="43" fontId="53" fillId="56" borderId="34" xfId="1474" applyFont="1" applyFill="1" applyBorder="1" applyAlignment="1">
      <alignment horizontal="center" vertical="center"/>
    </xf>
    <xf numFmtId="43" fontId="53" fillId="56" borderId="33" xfId="1474" applyFont="1" applyFill="1" applyBorder="1" applyAlignment="1">
      <alignment horizontal="center" vertical="center"/>
    </xf>
    <xf numFmtId="43" fontId="53" fillId="56" borderId="36" xfId="1474" applyFont="1" applyFill="1" applyBorder="1" applyAlignment="1">
      <alignment horizontal="center" vertical="center"/>
    </xf>
    <xf numFmtId="0" fontId="51" fillId="65" borderId="12" xfId="20098" applyFont="1" applyFill="1" applyBorder="1" applyAlignment="1">
      <alignment horizontal="center" vertical="center" wrapText="1"/>
    </xf>
    <xf numFmtId="168" fontId="51" fillId="56" borderId="34" xfId="2629" applyNumberFormat="1" applyFont="1" applyFill="1" applyBorder="1" applyAlignment="1">
      <alignment vertical="top"/>
    </xf>
    <xf numFmtId="0" fontId="49" fillId="66" borderId="10" xfId="20098" applyFont="1" applyFill="1" applyBorder="1" applyAlignment="1">
      <alignment horizontal="center"/>
    </xf>
    <xf numFmtId="17" fontId="49" fillId="66" borderId="10" xfId="1474" applyNumberFormat="1" applyFont="1" applyFill="1" applyBorder="1" applyAlignment="1">
      <alignment horizontal="center"/>
    </xf>
    <xf numFmtId="165" fontId="51" fillId="64" borderId="34" xfId="1474" applyNumberFormat="1" applyFont="1" applyFill="1" applyBorder="1" applyAlignment="1">
      <alignment horizontal="right"/>
    </xf>
    <xf numFmtId="165" fontId="100" fillId="64" borderId="34" xfId="1474" applyNumberFormat="1" applyFont="1" applyFill="1" applyBorder="1" applyAlignment="1">
      <alignment horizontal="right"/>
    </xf>
    <xf numFmtId="1" fontId="5" fillId="64" borderId="0" xfId="0" applyNumberFormat="1" applyFont="1" applyFill="1"/>
    <xf numFmtId="2" fontId="5" fillId="64" borderId="0" xfId="0" applyNumberFormat="1" applyFont="1" applyFill="1"/>
    <xf numFmtId="43" fontId="53" fillId="56" borderId="14" xfId="1474" applyFont="1" applyFill="1" applyBorder="1" applyAlignment="1">
      <alignment horizontal="right" vertical="center"/>
    </xf>
    <xf numFmtId="43" fontId="53" fillId="56" borderId="54" xfId="1474" applyFont="1" applyFill="1" applyBorder="1" applyAlignment="1">
      <alignment horizontal="right" vertical="center"/>
    </xf>
    <xf numFmtId="43" fontId="53" fillId="56" borderId="25" xfId="1474" applyFont="1" applyFill="1" applyBorder="1" applyAlignment="1">
      <alignment horizontal="right" vertical="center"/>
    </xf>
    <xf numFmtId="0" fontId="49" fillId="64" borderId="34" xfId="20098" applyFont="1" applyFill="1" applyBorder="1"/>
    <xf numFmtId="165" fontId="51" fillId="54" borderId="34" xfId="1474" applyNumberFormat="1" applyFont="1" applyFill="1" applyBorder="1" applyAlignment="1">
      <alignment horizontal="right"/>
    </xf>
    <xf numFmtId="165" fontId="49" fillId="64" borderId="34" xfId="1474" applyNumberFormat="1" applyFont="1" applyFill="1" applyBorder="1" applyAlignment="1">
      <alignment horizontal="right"/>
    </xf>
    <xf numFmtId="43" fontId="51" fillId="54" borderId="36" xfId="1474" applyFont="1" applyFill="1" applyBorder="1" applyAlignment="1">
      <alignment horizontal="right"/>
    </xf>
    <xf numFmtId="165" fontId="51" fillId="64" borderId="36" xfId="1474" applyNumberFormat="1" applyFont="1" applyFill="1" applyBorder="1"/>
    <xf numFmtId="0" fontId="57" fillId="57" borderId="10" xfId="20098" applyFont="1" applyFill="1" applyBorder="1" applyAlignment="1">
      <alignment horizontal="center" vertical="center" wrapText="1"/>
    </xf>
    <xf numFmtId="164" fontId="57" fillId="56" borderId="34" xfId="1474" applyNumberFormat="1" applyFont="1" applyFill="1" applyBorder="1"/>
    <xf numFmtId="164" fontId="57" fillId="56" borderId="10" xfId="1474" applyNumberFormat="1" applyFont="1" applyFill="1" applyBorder="1"/>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169" fontId="53" fillId="67" borderId="25" xfId="20098" applyNumberFormat="1" applyFont="1" applyFill="1" applyBorder="1" applyAlignment="1">
      <alignment horizontal="center"/>
    </xf>
    <xf numFmtId="164" fontId="53" fillId="67" borderId="23" xfId="1474" applyNumberFormat="1" applyFont="1" applyFill="1" applyBorder="1"/>
    <xf numFmtId="0" fontId="49" fillId="64" borderId="0" xfId="20098" applyFont="1" applyFill="1" applyAlignment="1">
      <alignment horizontal="right"/>
    </xf>
    <xf numFmtId="0" fontId="49" fillId="64" borderId="0" xfId="20098" applyFont="1" applyFill="1" applyAlignment="1">
      <alignment horizontal="center"/>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4" borderId="0" xfId="20098" applyFont="1" applyFill="1"/>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12"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3" fillId="55" borderId="29" xfId="20098" applyFont="1" applyFill="1" applyBorder="1" applyAlignment="1" applyProtection="1">
      <alignment horizontal="left"/>
      <protection locked="0"/>
    </xf>
    <xf numFmtId="0" fontId="53" fillId="55" borderId="30" xfId="20098" applyFont="1" applyFill="1" applyBorder="1" applyAlignment="1" applyProtection="1">
      <alignment horizontal="left"/>
      <protection locked="0"/>
    </xf>
    <xf numFmtId="0" fontId="53" fillId="55" borderId="31" xfId="20098" applyFont="1" applyFill="1" applyBorder="1" applyAlignment="1" applyProtection="1">
      <alignment horizontal="left"/>
      <protection locked="0"/>
    </xf>
    <xf numFmtId="43" fontId="53" fillId="55" borderId="29" xfId="20098" applyNumberFormat="1"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0" fontId="53" fillId="55" borderId="29" xfId="20098" applyFont="1" applyFill="1" applyBorder="1" applyAlignment="1" applyProtection="1">
      <alignment horizontal="left" vertical="center"/>
      <protection locked="0"/>
    </xf>
    <xf numFmtId="0" fontId="53" fillId="55" borderId="30" xfId="20098" applyFont="1" applyFill="1" applyBorder="1" applyAlignment="1" applyProtection="1">
      <alignment horizontal="left" vertical="center"/>
      <protection locked="0"/>
    </xf>
    <xf numFmtId="0" fontId="53" fillId="55" borderId="31" xfId="20098" applyFont="1" applyFill="1" applyBorder="1" applyAlignment="1" applyProtection="1">
      <alignment horizontal="left" vertical="center"/>
      <protection locked="0"/>
    </xf>
    <xf numFmtId="0" fontId="53" fillId="55" borderId="32" xfId="20098" applyFont="1" applyFill="1" applyBorder="1" applyAlignment="1" applyProtection="1">
      <alignment horizontal="left" vertical="center"/>
      <protection locked="0"/>
    </xf>
    <xf numFmtId="0" fontId="53" fillId="55" borderId="53" xfId="20098" applyFont="1" applyFill="1" applyBorder="1" applyAlignment="1" applyProtection="1">
      <alignment horizontal="left" vertical="center"/>
      <protection locked="0"/>
    </xf>
    <xf numFmtId="0" fontId="53" fillId="55" borderId="51" xfId="20098" applyFont="1" applyFill="1" applyBorder="1" applyAlignment="1" applyProtection="1">
      <alignment horizontal="left" vertical="center"/>
      <protection locked="0"/>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3" fillId="55" borderId="26" xfId="20098" applyFont="1" applyFill="1" applyBorder="1" applyAlignment="1" applyProtection="1">
      <alignment horizontal="left" vertical="center"/>
      <protection locked="0"/>
    </xf>
    <xf numFmtId="0" fontId="53" fillId="55" borderId="27" xfId="20098" applyFont="1" applyFill="1" applyBorder="1" applyAlignment="1" applyProtection="1">
      <alignment horizontal="left" vertical="center"/>
      <protection locked="0"/>
    </xf>
    <xf numFmtId="0" fontId="53" fillId="55" borderId="28" xfId="20098" applyFont="1" applyFill="1" applyBorder="1" applyAlignment="1" applyProtection="1">
      <alignment horizontal="left" vertical="center"/>
      <protection locked="0"/>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6" xfId="20098" applyFont="1" applyFill="1" applyBorder="1" applyAlignment="1" applyProtection="1">
      <alignment horizontal="left"/>
      <protection locked="0"/>
    </xf>
    <xf numFmtId="0" fontId="53" fillId="55" borderId="27" xfId="20098" applyFont="1" applyFill="1" applyBorder="1" applyAlignment="1" applyProtection="1">
      <alignment horizontal="left"/>
      <protection locked="0"/>
    </xf>
    <xf numFmtId="0" fontId="53" fillId="55" borderId="28" xfId="20098" applyFont="1" applyFill="1" applyBorder="1" applyAlignment="1" applyProtection="1">
      <alignment horizontal="left"/>
      <protection locked="0"/>
    </xf>
    <xf numFmtId="0" fontId="53" fillId="57" borderId="25" xfId="20098" applyFont="1" applyFill="1" applyBorder="1" applyAlignment="1">
      <alignment horizontal="center" vertical="center"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51" fillId="56" borderId="12"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64" borderId="14" xfId="20098" applyFont="1" applyFill="1" applyBorder="1" applyAlignment="1">
      <alignment horizontal="center" vertical="center" wrapText="1"/>
    </xf>
    <xf numFmtId="0" fontId="51" fillId="64" borderId="25" xfId="20098" applyFont="1" applyFill="1" applyBorder="1" applyAlignment="1">
      <alignment horizontal="center" vertical="center" wrapText="1"/>
    </xf>
    <xf numFmtId="0" fontId="51" fillId="64" borderId="18" xfId="20098" applyFont="1" applyFill="1" applyBorder="1" applyAlignment="1">
      <alignment horizontal="center" vertical="center" wrapText="1"/>
    </xf>
    <xf numFmtId="0" fontId="51" fillId="65" borderId="15" xfId="20098" applyFont="1" applyFill="1" applyBorder="1" applyAlignment="1">
      <alignment horizontal="center" vertical="center" wrapText="1"/>
    </xf>
    <xf numFmtId="0" fontId="51" fillId="65" borderId="22" xfId="20098" applyFont="1" applyFill="1" applyBorder="1" applyAlignment="1">
      <alignment horizontal="center" vertical="center" wrapText="1"/>
    </xf>
    <xf numFmtId="0" fontId="51" fillId="65" borderId="20" xfId="20098" applyFont="1" applyFill="1" applyBorder="1" applyAlignment="1">
      <alignment horizontal="center" vertical="center" wrapText="1"/>
    </xf>
    <xf numFmtId="0" fontId="51" fillId="65" borderId="11" xfId="20098" applyFont="1" applyFill="1" applyBorder="1" applyAlignment="1">
      <alignment horizontal="center" vertical="center" wrapText="1"/>
    </xf>
    <xf numFmtId="0" fontId="51" fillId="65" borderId="12" xfId="20098" applyFont="1" applyFill="1" applyBorder="1" applyAlignment="1">
      <alignment horizontal="center" vertical="center" wrapText="1"/>
    </xf>
    <xf numFmtId="171" fontId="51" fillId="65" borderId="14" xfId="20098" applyNumberFormat="1" applyFont="1" applyFill="1" applyBorder="1" applyAlignment="1">
      <alignment horizontal="center" vertical="center" wrapText="1"/>
    </xf>
    <xf numFmtId="171" fontId="51" fillId="65" borderId="25" xfId="20098" applyNumberFormat="1" applyFont="1" applyFill="1" applyBorder="1" applyAlignment="1">
      <alignment horizontal="center" vertical="center" wrapText="1"/>
    </xf>
    <xf numFmtId="171" fontId="51" fillId="65" borderId="18" xfId="20098" applyNumberFormat="1" applyFont="1" applyFill="1" applyBorder="1" applyAlignment="1">
      <alignment horizontal="center" vertical="center" wrapText="1"/>
    </xf>
    <xf numFmtId="0" fontId="51" fillId="65" borderId="14" xfId="20098" applyFont="1" applyFill="1" applyBorder="1" applyAlignment="1">
      <alignment horizontal="center" vertical="center" wrapText="1"/>
    </xf>
    <xf numFmtId="0" fontId="51" fillId="65" borderId="25" xfId="20098" applyFont="1" applyFill="1" applyBorder="1" applyAlignment="1">
      <alignment horizontal="center" vertical="center" wrapText="1"/>
    </xf>
    <xf numFmtId="0" fontId="51" fillId="65" borderId="18"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LGIP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cat>
            <c:multiLvlStrRef>
              <c:f>Calculation!$AC$18:$AG$19</c:f>
            </c:multiLvlStrRef>
          </c:cat>
          <c:val>
            <c:numRef>
              <c:f>Calculation!$AC$25:$AG$25</c:f>
            </c:numRef>
          </c:val>
          <c:extLst>
            <c:ext xmlns:c16="http://schemas.microsoft.com/office/drawing/2014/chart" uri="{C3380CC4-5D6E-409C-BE32-E72D297353CC}">
              <c16:uniqueId val="{00000000-2CFA-4194-B524-A819129298D4}"/>
            </c:ext>
          </c:extLst>
        </c:ser>
        <c:ser>
          <c:idx val="3"/>
          <c:order val="1"/>
          <c:tx>
            <c:v>Credit use (uncapped)</c:v>
          </c:tx>
          <c:spPr>
            <a:solidFill>
              <a:srgbClr val="C00000"/>
            </a:solidFill>
          </c:spPr>
          <c:invertIfNegative val="0"/>
          <c:cat>
            <c:multiLvlStrRef>
              <c:f>Calculation!$AC$18:$AG$19</c:f>
            </c:multiLvlStrRef>
          </c:cat>
          <c:val>
            <c:numRef>
              <c:f>Calculation!$AC$36:$AG$36</c:f>
            </c:numRef>
          </c:val>
          <c:extLst>
            <c:ext xmlns:c16="http://schemas.microsoft.com/office/drawing/2014/chart" uri="{C3380CC4-5D6E-409C-BE32-E72D297353CC}">
              <c16:uniqueId val="{00000003-2CFA-4194-B524-A819129298D4}"/>
            </c:ext>
          </c:extLst>
        </c:ser>
        <c:ser>
          <c:idx val="4"/>
          <c:order val="2"/>
          <c:tx>
            <c:v>Credit given</c:v>
          </c:tx>
          <c:spPr>
            <a:solidFill>
              <a:srgbClr val="FFC000"/>
            </a:solidFill>
          </c:spPr>
          <c:invertIfNegative val="0"/>
          <c:cat>
            <c:multiLvlStrRef>
              <c:f>Calculation!$AC$18:$AG$19</c:f>
            </c:multiLvlStrRef>
          </c:cat>
          <c:val>
            <c:numRef>
              <c:f>Calculation!$AE$41:$AE$45</c:f>
            </c:numRef>
          </c:val>
          <c:extLst>
            <c:ext xmlns:c16="http://schemas.microsoft.com/office/drawing/2014/chart" uri="{C3380CC4-5D6E-409C-BE32-E72D297353CC}">
              <c16:uniqueId val="{00000004-2CFA-4194-B524-A819129298D4}"/>
            </c:ext>
          </c:extLst>
        </c:ser>
        <c:dLbls>
          <c:showLegendKey val="0"/>
          <c:showVal val="0"/>
          <c:showCatName val="0"/>
          <c:showSerName val="0"/>
          <c:showPercent val="0"/>
          <c:showBubbleSize val="0"/>
        </c:dLbls>
        <c:gapWidth val="150"/>
        <c:axId val="59189888"/>
        <c:axId val="111731840"/>
      </c:barChart>
      <c:catAx>
        <c:axId val="59189888"/>
        <c:scaling>
          <c:orientation val="minMax"/>
        </c:scaling>
        <c:delete val="0"/>
        <c:axPos val="b"/>
        <c:numFmt formatCode="General" sourceLinked="1"/>
        <c:majorTickMark val="out"/>
        <c:minorTickMark val="none"/>
        <c:tickLblPos val="nextTo"/>
        <c:crossAx val="111731840"/>
        <c:crosses val="autoZero"/>
        <c:auto val="1"/>
        <c:lblAlgn val="ctr"/>
        <c:lblOffset val="100"/>
        <c:noMultiLvlLbl val="0"/>
      </c:catAx>
      <c:valAx>
        <c:axId val="11173184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9189888"/>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22</xdr:row>
      <xdr:rowOff>47626</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5"/>
          <a:ext cx="9334500" cy="41433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133351</xdr:rowOff>
    </xdr:from>
    <xdr:to>
      <xdr:col>9</xdr:col>
      <xdr:colOff>495300</xdr:colOff>
      <xdr:row>21</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6"/>
          <a:ext cx="542925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2021 and 30 June 2022, as per council resolution dated </a:t>
          </a:r>
          <a:r>
            <a:rPr lang="en-AU" sz="1100" baseline="0">
              <a:solidFill>
                <a:srgbClr val="FF0000"/>
              </a:solidFill>
              <a:latin typeface="Arial" panose="020B0604020202020204" pitchFamily="34" charset="0"/>
              <a:cs typeface="Arial" panose="020B0604020202020204" pitchFamily="34" charset="0"/>
            </a:rPr>
            <a:t>29 June 2021</a:t>
          </a:r>
          <a:r>
            <a:rPr lang="en-AU" sz="1100" baseline="0">
              <a:solidFill>
                <a:sysClr val="windowText" lastClr="000000"/>
              </a:solidFill>
              <a:latin typeface="Arial" panose="020B0604020202020204" pitchFamily="34" charset="0"/>
              <a:cs typeface="Arial" panose="020B0604020202020204" pitchFamily="34" charset="0"/>
            </a:rPr>
            <a:t>.</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Council may </a:t>
          </a:r>
          <a:r>
            <a:rPr lang="en-AU" sz="1100" baseline="0">
              <a:latin typeface="Arial" panose="020B0604020202020204" pitchFamily="34" charset="0"/>
              <a:cs typeface="Arial" panose="020B0604020202020204" pitchFamily="34" charset="0"/>
            </a:rPr>
            <a:t>use </a:t>
          </a:r>
          <a:r>
            <a:rPr lang="en-AU" sz="1100">
              <a:latin typeface="Arial" panose="020B0604020202020204" pitchFamily="34" charset="0"/>
              <a:cs typeface="Arial" panose="020B0604020202020204" pitchFamily="34" charset="0"/>
            </a:rPr>
            <a:t>NOVOPLAN</a:t>
          </a:r>
          <a:r>
            <a:rPr lang="en-AU" sz="1100" baseline="0">
              <a:latin typeface="Arial" panose="020B0604020202020204" pitchFamily="34" charset="0"/>
              <a:cs typeface="Arial" panose="020B0604020202020204" pitchFamily="34" charset="0"/>
            </a:rPr>
            <a:t> to calculate and administer infrastructure charges, in which case, this calculator would only be used for providing preliminary and non-binding advice, or as a comparative check.</a:t>
          </a:r>
        </a:p>
        <a:p>
          <a:endParaRPr lang="en-AU" sz="1100" baseline="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relevant</a:t>
          </a:r>
          <a:r>
            <a:rPr lang="en-AU" sz="1100" baseline="0">
              <a:latin typeface="Arial" panose="020B0604020202020204" pitchFamily="34" charset="0"/>
              <a:cs typeface="Arial" panose="020B0604020202020204" pitchFamily="34" charset="0"/>
            </a:rPr>
            <a:t> statutory provisions</a:t>
          </a:r>
          <a:r>
            <a:rPr lang="en-AU" sz="1100">
              <a:latin typeface="Arial" panose="020B0604020202020204" pitchFamily="34" charset="0"/>
              <a:cs typeface="Arial" panose="020B0604020202020204" pitchFamily="34" charset="0"/>
            </a:rPr>
            <a:t> (adopted charges). The currency, accuracy and validity of the calculations, including the underlying assumptions and interpretations of resolutions, etc. are not guaranteed. In this respect, the user is referred to the actual resolution, associated regulations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 </a:t>
          </a:r>
          <a:r>
            <a:rPr lang="en-AU" sz="1100" i="0" baseline="0">
              <a:latin typeface="Arial" panose="020B0604020202020204" pitchFamily="34" charset="0"/>
              <a:cs typeface="Arial" panose="020B0604020202020204" pitchFamily="34" charset="0"/>
            </a:rPr>
            <a:t>and any calculations and advice prepared by council.</a:t>
          </a:r>
          <a:endParaRPr lang="en-AU" sz="11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192742</xdr:colOff>
      <xdr:row>4</xdr:row>
      <xdr:rowOff>189380</xdr:rowOff>
    </xdr:from>
    <xdr:to>
      <xdr:col>14</xdr:col>
      <xdr:colOff>116542</xdr:colOff>
      <xdr:row>7</xdr:row>
      <xdr:rowOff>14568</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87418" y="1052233"/>
          <a:ext cx="1582271" cy="463923"/>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34</xdr:col>
      <xdr:colOff>174199</xdr:colOff>
      <xdr:row>16</xdr:row>
      <xdr:rowOff>34737</xdr:rowOff>
    </xdr:from>
    <xdr:to>
      <xdr:col>44</xdr:col>
      <xdr:colOff>364700</xdr:colOff>
      <xdr:row>48</xdr:row>
      <xdr:rowOff>138546</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4</xdr:row>
      <xdr:rowOff>81643</xdr:rowOff>
    </xdr:from>
    <xdr:to>
      <xdr:col>16</xdr:col>
      <xdr:colOff>300794</xdr:colOff>
      <xdr:row>52</xdr:row>
      <xdr:rowOff>103231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62643" y="843643"/>
          <a:ext cx="10288437" cy="8430802"/>
        </a:xfrm>
        <a:prstGeom prst="rect">
          <a:avLst/>
        </a:prstGeom>
      </xdr:spPr>
    </xdr:pic>
    <xdr:clientData/>
  </xdr:twoCellAnchor>
  <xdr:twoCellAnchor editAs="oneCell">
    <xdr:from>
      <xdr:col>16</xdr:col>
      <xdr:colOff>476248</xdr:colOff>
      <xdr:row>4</xdr:row>
      <xdr:rowOff>81643</xdr:rowOff>
    </xdr:from>
    <xdr:to>
      <xdr:col>32</xdr:col>
      <xdr:colOff>218735</xdr:colOff>
      <xdr:row>52</xdr:row>
      <xdr:rowOff>108857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10926534" y="843643"/>
          <a:ext cx="10464915" cy="8436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8"/>
  <sheetViews>
    <sheetView showGridLines="0" showZeros="0" tabSelected="1" zoomScaleNormal="100" workbookViewId="0">
      <selection activeCell="B25" sqref="B25"/>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1" t="s">
        <v>5</v>
      </c>
    </row>
    <row r="4" spans="2:15" ht="30" x14ac:dyDescent="0.4">
      <c r="B4" s="9" t="s">
        <v>12</v>
      </c>
    </row>
    <row r="5" spans="2:15" ht="23.25" x14ac:dyDescent="0.35">
      <c r="B5" s="8" t="s">
        <v>13</v>
      </c>
    </row>
    <row r="6" spans="2:15" ht="15" customHeight="1" x14ac:dyDescent="0.35">
      <c r="B6" s="8"/>
      <c r="K6" s="21"/>
    </row>
    <row r="7" spans="2:15" ht="14.25" x14ac:dyDescent="0.2">
      <c r="B7" s="22" t="s">
        <v>7</v>
      </c>
      <c r="D7" s="21">
        <f>INDEX(Version!$A$5:$A$24,MATCH(MAX(Version!B5:B24),Version!$B$5:$B$24,0))</f>
        <v>17.399999999999999</v>
      </c>
      <c r="K7" s="21"/>
    </row>
    <row r="8" spans="2:15" ht="15" x14ac:dyDescent="0.25">
      <c r="K8" s="19" t="s">
        <v>15</v>
      </c>
    </row>
    <row r="9" spans="2:15" ht="14.25" x14ac:dyDescent="0.2">
      <c r="K9" s="21"/>
    </row>
    <row r="10" spans="2:15" ht="14.25" x14ac:dyDescent="0.2">
      <c r="B10" s="6"/>
      <c r="K10" s="20" t="s">
        <v>16</v>
      </c>
    </row>
    <row r="11" spans="2:15" ht="14.25" x14ac:dyDescent="0.2">
      <c r="C11" s="4"/>
      <c r="K11" s="20"/>
    </row>
    <row r="12" spans="2:15" ht="14.25" x14ac:dyDescent="0.2">
      <c r="B12" s="3"/>
      <c r="K12" s="20" t="s">
        <v>17</v>
      </c>
    </row>
    <row r="13" spans="2:15" ht="13.5" customHeight="1" x14ac:dyDescent="0.2">
      <c r="B13" s="2"/>
      <c r="C13" s="5"/>
      <c r="D13" s="5"/>
      <c r="E13" s="5"/>
      <c r="F13" s="5"/>
      <c r="G13" s="5"/>
      <c r="H13" s="5"/>
      <c r="I13" s="5"/>
      <c r="J13" s="5"/>
      <c r="K13" s="20"/>
      <c r="L13" s="5"/>
      <c r="M13" s="5"/>
      <c r="N13" s="5"/>
      <c r="O13" s="5"/>
    </row>
    <row r="14" spans="2:15" ht="13.5" customHeight="1" x14ac:dyDescent="0.2">
      <c r="B14" s="2"/>
      <c r="C14" s="5"/>
      <c r="D14" s="5"/>
      <c r="E14" s="5"/>
      <c r="F14" s="5"/>
      <c r="G14" s="5"/>
      <c r="H14" s="5"/>
      <c r="I14" s="5"/>
      <c r="J14" s="5"/>
      <c r="K14" s="20" t="s">
        <v>18</v>
      </c>
      <c r="L14" s="5"/>
      <c r="M14" s="5"/>
      <c r="N14" s="5"/>
      <c r="O14" s="5"/>
    </row>
    <row r="15" spans="2:15" ht="14.25" x14ac:dyDescent="0.2">
      <c r="B15" s="5"/>
      <c r="C15" s="5"/>
      <c r="D15" s="5"/>
      <c r="E15" s="5"/>
      <c r="F15" s="5"/>
      <c r="G15" s="5"/>
      <c r="H15" s="5"/>
      <c r="I15" s="5"/>
      <c r="J15" s="5"/>
      <c r="K15" s="20"/>
      <c r="L15" s="5"/>
      <c r="M15" s="5"/>
      <c r="N15" s="5"/>
      <c r="O15" s="5"/>
    </row>
    <row r="16" spans="2:15" ht="14.25" x14ac:dyDescent="0.2">
      <c r="B16" s="2"/>
      <c r="C16" s="5"/>
      <c r="D16" s="5"/>
      <c r="E16" s="5"/>
      <c r="F16" s="5"/>
      <c r="G16" s="5"/>
      <c r="H16" s="5"/>
      <c r="I16" s="5"/>
      <c r="J16" s="5"/>
      <c r="K16" s="20" t="s">
        <v>7</v>
      </c>
      <c r="L16" s="5"/>
      <c r="M16" s="5"/>
      <c r="N16" s="5"/>
      <c r="O16" s="5"/>
    </row>
    <row r="17" spans="2:15" x14ac:dyDescent="0.2">
      <c r="B17" s="5"/>
      <c r="C17" s="5"/>
      <c r="D17" s="5"/>
      <c r="E17" s="5"/>
      <c r="F17" s="5"/>
      <c r="G17" s="5"/>
      <c r="H17" s="5"/>
      <c r="I17" s="5"/>
      <c r="J17" s="5"/>
      <c r="K17" s="5"/>
      <c r="L17" s="5"/>
      <c r="M17" s="5"/>
      <c r="N17" s="5"/>
      <c r="O17" s="5"/>
    </row>
    <row r="18" spans="2:15" x14ac:dyDescent="0.2">
      <c r="B18" s="5"/>
      <c r="C18" s="5"/>
      <c r="D18" s="5"/>
      <c r="E18" s="5"/>
      <c r="F18" s="5"/>
      <c r="G18" s="5"/>
      <c r="H18" s="5"/>
      <c r="I18" s="5"/>
      <c r="J18" s="5"/>
      <c r="K18" s="5"/>
      <c r="L18" s="5"/>
      <c r="M18" s="5"/>
      <c r="N18" s="5"/>
      <c r="O18" s="5"/>
    </row>
    <row r="19" spans="2:15" x14ac:dyDescent="0.2">
      <c r="B19" s="5"/>
      <c r="C19" s="5"/>
      <c r="D19" s="5"/>
      <c r="E19" s="5"/>
      <c r="F19" s="5"/>
      <c r="G19" s="5"/>
      <c r="H19" s="5"/>
      <c r="I19" s="5"/>
      <c r="J19" s="5"/>
      <c r="K19" s="5"/>
      <c r="L19" s="5"/>
      <c r="M19" s="5"/>
      <c r="N19" s="5"/>
      <c r="O19" s="5"/>
    </row>
    <row r="20" spans="2:15" x14ac:dyDescent="0.2">
      <c r="B20" s="5"/>
      <c r="C20" s="5"/>
      <c r="D20" s="5"/>
      <c r="E20" s="5"/>
      <c r="F20" s="5"/>
      <c r="G20" s="5"/>
      <c r="H20" s="5"/>
      <c r="I20" s="5"/>
      <c r="J20" s="5"/>
      <c r="K20" s="5"/>
      <c r="L20" s="5"/>
      <c r="M20" s="5"/>
      <c r="N20" s="5"/>
      <c r="O20" s="5"/>
    </row>
    <row r="21" spans="2:15" x14ac:dyDescent="0.2">
      <c r="B21" s="5"/>
      <c r="C21" s="5"/>
      <c r="D21" s="5"/>
      <c r="E21" s="5"/>
      <c r="F21" s="5"/>
      <c r="G21" s="5"/>
      <c r="H21" s="5"/>
      <c r="I21" s="5"/>
      <c r="J21" s="5"/>
      <c r="K21" s="5"/>
      <c r="L21" s="5"/>
      <c r="M21" s="5"/>
      <c r="N21" s="5"/>
      <c r="O21" s="5"/>
    </row>
    <row r="22" spans="2:15" ht="14.25" x14ac:dyDescent="0.2">
      <c r="B22" s="21"/>
    </row>
    <row r="23" spans="2:15" ht="14.25" x14ac:dyDescent="0.2">
      <c r="B23" s="21"/>
    </row>
    <row r="24" spans="2:15" ht="14.25" x14ac:dyDescent="0.2">
      <c r="B24" s="21"/>
      <c r="H24" s="21"/>
    </row>
    <row r="25" spans="2:15" ht="14.25" x14ac:dyDescent="0.2">
      <c r="B25" s="21"/>
      <c r="H25" s="21"/>
    </row>
    <row r="26" spans="2:15" ht="14.25" x14ac:dyDescent="0.2">
      <c r="B26" s="21"/>
    </row>
    <row r="27" spans="2:15" ht="14.25" x14ac:dyDescent="0.2">
      <c r="B27" s="21"/>
      <c r="H27" s="21"/>
    </row>
    <row r="28" spans="2:15" ht="14.25" x14ac:dyDescent="0.2">
      <c r="B28" s="21"/>
      <c r="H28" s="21"/>
    </row>
  </sheetData>
  <sheetProtection algorithmName="SHA-512" hashValue="GWow2kaBv2ce+AHhseogV1eXpNrZdzMXdI4sXS56gQmGOuE+trRUMkFokelerL2KAJxQJ8DN/mwQeFFpXpePIA==" saltValue="gQSthCVqLV/AL9OxzTl55w==" spinCount="100000"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L20" sqref="L20"/>
    </sheetView>
  </sheetViews>
  <sheetFormatPr defaultRowHeight="14.25" x14ac:dyDescent="0.2"/>
  <cols>
    <col min="1" max="16384" width="9.140625" style="21"/>
  </cols>
  <sheetData>
    <row r="1" spans="1:1" ht="18" x14ac:dyDescent="0.25">
      <c r="A1" s="1" t="s">
        <v>16</v>
      </c>
    </row>
    <row r="2" spans="1:1" x14ac:dyDescent="0.2">
      <c r="A2" s="21" t="s">
        <v>14</v>
      </c>
    </row>
    <row r="4" spans="1:1" x14ac:dyDescent="0.2">
      <c r="A4" s="128" t="s">
        <v>373</v>
      </c>
    </row>
    <row r="5" spans="1:1" x14ac:dyDescent="0.2">
      <c r="A5" s="21" t="s">
        <v>403</v>
      </c>
    </row>
    <row r="6" spans="1:1" x14ac:dyDescent="0.2">
      <c r="A6" s="21" t="s">
        <v>374</v>
      </c>
    </row>
    <row r="8" spans="1:1" x14ac:dyDescent="0.2">
      <c r="A8" s="18" t="s">
        <v>49</v>
      </c>
    </row>
    <row r="9" spans="1:1" x14ac:dyDescent="0.2">
      <c r="A9" s="21" t="s">
        <v>445</v>
      </c>
    </row>
    <row r="10" spans="1:1" x14ac:dyDescent="0.2">
      <c r="A10" s="21" t="s">
        <v>50</v>
      </c>
    </row>
    <row r="11" spans="1:1" x14ac:dyDescent="0.2">
      <c r="A11" s="21" t="s">
        <v>51</v>
      </c>
    </row>
    <row r="12" spans="1:1" x14ac:dyDescent="0.2">
      <c r="A12" s="21" t="s">
        <v>375</v>
      </c>
    </row>
    <row r="14" spans="1:1" x14ac:dyDescent="0.2">
      <c r="A14" s="18" t="s">
        <v>52</v>
      </c>
    </row>
    <row r="15" spans="1:1" x14ac:dyDescent="0.2">
      <c r="A15" s="21" t="s">
        <v>376</v>
      </c>
    </row>
    <row r="16" spans="1:1" x14ac:dyDescent="0.2">
      <c r="A16" s="21" t="s">
        <v>53</v>
      </c>
    </row>
    <row r="17" spans="1:1" x14ac:dyDescent="0.2">
      <c r="A17" s="21" t="s">
        <v>446</v>
      </c>
    </row>
    <row r="18" spans="1:1" ht="15" x14ac:dyDescent="0.25">
      <c r="A18" s="21" t="s">
        <v>61</v>
      </c>
    </row>
    <row r="19" spans="1:1" x14ac:dyDescent="0.2">
      <c r="A19" s="21" t="s">
        <v>54</v>
      </c>
    </row>
    <row r="20" spans="1:1" x14ac:dyDescent="0.2">
      <c r="A20" s="21" t="s">
        <v>55</v>
      </c>
    </row>
    <row r="21" spans="1:1" x14ac:dyDescent="0.2">
      <c r="A21" s="21" t="s">
        <v>377</v>
      </c>
    </row>
    <row r="23" spans="1:1" x14ac:dyDescent="0.2">
      <c r="A23" s="18" t="s">
        <v>56</v>
      </c>
    </row>
    <row r="24" spans="1:1" x14ac:dyDescent="0.2">
      <c r="A24" s="21" t="s">
        <v>57</v>
      </c>
    </row>
    <row r="25" spans="1:1" x14ac:dyDescent="0.2">
      <c r="A25" s="21" t="s">
        <v>58</v>
      </c>
    </row>
    <row r="26" spans="1:1" x14ac:dyDescent="0.2">
      <c r="A26" s="21" t="s">
        <v>59</v>
      </c>
    </row>
    <row r="27" spans="1:1" x14ac:dyDescent="0.2">
      <c r="A27" s="21" t="s">
        <v>60</v>
      </c>
    </row>
  </sheetData>
  <sheetProtection algorithmName="SHA-512" hashValue="kyu7R0GjXr0W40G7j16UiXWi+EXu6RSMKYOT7lzaWNq+Rm24qeC96RAmdyh9bHgqgEeEEG5w73pVWgYZ4G8cvA==" saltValue="2Duk9ipObENbvQmdwr4aMA==" spinCount="100000"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20"/>
  <sheetViews>
    <sheetView showGridLines="0" showZeros="0" zoomScale="85" zoomScaleNormal="85" workbookViewId="0">
      <selection activeCell="H15" sqref="H15"/>
    </sheetView>
  </sheetViews>
  <sheetFormatPr defaultRowHeight="12.75" outlineLevelCol="1" x14ac:dyDescent="0.2"/>
  <cols>
    <col min="1" max="1" width="4.140625" style="24" customWidth="1"/>
    <col min="2" max="2" width="18.140625" style="24" customWidth="1"/>
    <col min="3" max="3" width="18.28515625" style="24" customWidth="1"/>
    <col min="4" max="4" width="22" style="24" customWidth="1"/>
    <col min="5" max="5" width="15.140625" style="24" customWidth="1"/>
    <col min="6" max="6" width="12.42578125" style="24" customWidth="1"/>
    <col min="7" max="8" width="14" style="24" customWidth="1"/>
    <col min="9" max="16" width="12.42578125" style="24" customWidth="1"/>
    <col min="17" max="17" width="3.42578125" style="24" customWidth="1"/>
    <col min="18" max="21" width="13.7109375" style="24" customWidth="1"/>
    <col min="22" max="22" width="2.7109375" style="24" customWidth="1"/>
    <col min="23" max="23" width="9.7109375" style="24" customWidth="1"/>
    <col min="24" max="33" width="13.5703125" style="24" hidden="1" customWidth="1" outlineLevel="1"/>
    <col min="34" max="34" width="10.7109375" style="24" hidden="1" customWidth="1" outlineLevel="1"/>
    <col min="35" max="35" width="16" style="24" hidden="1" customWidth="1" outlineLevel="1"/>
    <col min="36" max="45" width="9.140625" style="24" hidden="1" customWidth="1" outlineLevel="1"/>
    <col min="46" max="46" width="9.140625" style="24" customWidth="1" collapsed="1"/>
    <col min="47" max="47" width="9.28515625" style="24" hidden="1" customWidth="1" outlineLevel="1"/>
    <col min="48" max="48" width="9.140625" style="24" collapsed="1"/>
    <col min="49" max="16384" width="9.140625" style="24"/>
  </cols>
  <sheetData>
    <row r="1" spans="1:47" ht="18.75" x14ac:dyDescent="0.3">
      <c r="A1" s="97" t="s">
        <v>17</v>
      </c>
      <c r="B1" s="23"/>
      <c r="C1" s="23"/>
      <c r="D1" s="23"/>
      <c r="E1" s="23"/>
      <c r="F1" s="23"/>
      <c r="G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row>
    <row r="2" spans="1:47" ht="15.75" customHeight="1" x14ac:dyDescent="0.3">
      <c r="A2" s="23" t="str">
        <f>"Version "&amp;Welcome!D7</f>
        <v>Version 17.4</v>
      </c>
      <c r="B2" s="23"/>
      <c r="C2" s="23"/>
      <c r="H2" s="23" t="s">
        <v>62</v>
      </c>
      <c r="I2" s="23"/>
      <c r="J2" s="23"/>
      <c r="K2" s="125">
        <v>44378</v>
      </c>
      <c r="L2" s="126" t="s">
        <v>63</v>
      </c>
      <c r="M2" s="127">
        <v>44742</v>
      </c>
      <c r="N2" s="25" t="str">
        <f>+IF(AND(D13&gt;0,OR(D13&lt;K2,D13&gt;M2)),"THIS IS NOT THE CORRECT CALCULATOR FOR THE DECISION DATE","")</f>
        <v/>
      </c>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row>
    <row r="3" spans="1:47" ht="16.5" x14ac:dyDescent="0.3">
      <c r="A3" s="23" t="s">
        <v>14</v>
      </c>
      <c r="B3" s="23"/>
      <c r="C3" s="23"/>
      <c r="H3" s="23" t="s">
        <v>65</v>
      </c>
      <c r="I3" s="23"/>
      <c r="J3" s="23"/>
      <c r="K3" s="245">
        <f>+DATE(YEAR(J12),7,1)</f>
        <v>45108</v>
      </c>
      <c r="L3" s="246" t="s">
        <v>63</v>
      </c>
      <c r="M3" s="247">
        <f>DATE(YEAR(J12)+1,6,30)</f>
        <v>45473</v>
      </c>
      <c r="N3" s="25" t="str">
        <f>+IF(AND(D14&gt;0,OR(D14&lt;K3,D14&gt;M3)),"THIS IS NOT THE CORRECT CALCULATOR FOR THE PAYMENT DATE","")</f>
        <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ht="16.5"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row>
    <row r="5" spans="1:47" ht="16.5" x14ac:dyDescent="0.3">
      <c r="A5" s="26" t="s">
        <v>4</v>
      </c>
      <c r="B5" s="27" t="s">
        <v>66</v>
      </c>
      <c r="C5" s="23"/>
      <c r="D5" s="23"/>
      <c r="E5" s="23"/>
      <c r="F5" s="23"/>
      <c r="G5" s="26" t="s">
        <v>1</v>
      </c>
      <c r="H5" s="27" t="s">
        <v>402</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row>
    <row r="6" spans="1:47" ht="16.5" x14ac:dyDescent="0.3">
      <c r="A6" s="26"/>
      <c r="B6" s="255" t="s">
        <v>6</v>
      </c>
      <c r="C6" s="257"/>
      <c r="D6" s="315" t="s">
        <v>66</v>
      </c>
      <c r="E6" s="316"/>
      <c r="F6" s="317"/>
      <c r="G6" s="28"/>
      <c r="H6" s="171" t="s">
        <v>400</v>
      </c>
      <c r="I6" s="172"/>
      <c r="J6" s="172"/>
      <c r="K6" s="173"/>
      <c r="L6" s="175" t="s">
        <v>401</v>
      </c>
      <c r="M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16.5" x14ac:dyDescent="0.3">
      <c r="A7" s="26"/>
      <c r="B7" s="183" t="s">
        <v>67</v>
      </c>
      <c r="C7" s="191"/>
      <c r="D7" s="318"/>
      <c r="E7" s="319"/>
      <c r="F7" s="320"/>
      <c r="G7" s="28"/>
      <c r="H7" s="295"/>
      <c r="I7" s="296"/>
      <c r="J7" s="296"/>
      <c r="K7" s="297"/>
      <c r="L7" s="174" t="e">
        <f>+INDEX('Service areas'!$C$8:$C$20,MATCH(H7,'Service areas'!$A$8:$A$20,0))</f>
        <v>#N/A</v>
      </c>
      <c r="M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t="str">
        <f>IF(H7="","",MATCH(H7,'Service areas'!$A$8:$A$20,0))</f>
        <v/>
      </c>
    </row>
    <row r="8" spans="1:47" ht="16.5" x14ac:dyDescent="0.3">
      <c r="A8" s="26"/>
      <c r="B8" s="187" t="s">
        <v>68</v>
      </c>
      <c r="C8" s="192"/>
      <c r="D8" s="291"/>
      <c r="E8" s="292"/>
      <c r="F8" s="293"/>
      <c r="G8" s="28"/>
      <c r="I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ht="16.5" x14ac:dyDescent="0.3">
      <c r="A9" s="26"/>
      <c r="B9" s="187" t="s">
        <v>69</v>
      </c>
      <c r="C9" s="192"/>
      <c r="D9" s="294"/>
      <c r="E9" s="292"/>
      <c r="F9" s="293"/>
      <c r="G9" s="26" t="s">
        <v>2</v>
      </c>
      <c r="H9" s="27" t="s">
        <v>71</v>
      </c>
      <c r="I9" s="23"/>
      <c r="J9" s="23"/>
      <c r="K9" s="23"/>
      <c r="L9" s="23"/>
      <c r="M9" s="26" t="s">
        <v>406</v>
      </c>
      <c r="N9" s="27" t="s">
        <v>405</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7" ht="16.5" x14ac:dyDescent="0.3">
      <c r="A10" s="26"/>
      <c r="B10" s="187" t="s">
        <v>432</v>
      </c>
      <c r="C10" s="192"/>
      <c r="D10" s="294"/>
      <c r="E10" s="292"/>
      <c r="F10" s="293"/>
      <c r="G10" s="28"/>
      <c r="H10" s="58" t="s">
        <v>6</v>
      </c>
      <c r="I10" s="32"/>
      <c r="J10" s="31" t="s">
        <v>73</v>
      </c>
      <c r="K10" s="32" t="s">
        <v>11</v>
      </c>
      <c r="L10" s="23"/>
      <c r="N10" s="182" t="str">
        <f>+"For regime: "&amp;'Reference data'!E9</f>
        <v>For regime: Prescribed Amount 
($ Jul '21)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row>
    <row r="11" spans="1:47" ht="15" customHeight="1" x14ac:dyDescent="0.3">
      <c r="A11" s="26"/>
      <c r="B11" s="187" t="s">
        <v>70</v>
      </c>
      <c r="C11" s="192"/>
      <c r="D11" s="291"/>
      <c r="E11" s="292"/>
      <c r="F11" s="293"/>
      <c r="G11" s="28"/>
      <c r="H11" s="183" t="s">
        <v>75</v>
      </c>
      <c r="I11" s="184"/>
      <c r="J11" s="218">
        <v>44531</v>
      </c>
      <c r="K11" s="219">
        <v>119.6</v>
      </c>
      <c r="L11" s="23"/>
      <c r="N11" s="58" t="s">
        <v>6</v>
      </c>
      <c r="O11" s="32"/>
      <c r="P11" s="32" t="s">
        <v>11</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row>
    <row r="12" spans="1:47" ht="15" customHeight="1" x14ac:dyDescent="0.3">
      <c r="A12" s="26"/>
      <c r="B12" s="187" t="s">
        <v>72</v>
      </c>
      <c r="C12" s="192"/>
      <c r="D12" s="193"/>
      <c r="E12" s="194"/>
      <c r="F12" s="195"/>
      <c r="G12" s="28"/>
      <c r="H12" s="187" t="s">
        <v>77</v>
      </c>
      <c r="I12" s="188"/>
      <c r="J12" s="248">
        <v>45261</v>
      </c>
      <c r="K12" s="249">
        <v>131.1</v>
      </c>
      <c r="L12" s="23"/>
      <c r="M12" s="23"/>
      <c r="N12" s="183" t="s">
        <v>407</v>
      </c>
      <c r="O12" s="184"/>
      <c r="P12" s="218">
        <v>44348</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row>
    <row r="13" spans="1:47" ht="15" customHeight="1" x14ac:dyDescent="0.3">
      <c r="A13" s="26"/>
      <c r="B13" s="187" t="s">
        <v>74</v>
      </c>
      <c r="C13" s="192"/>
      <c r="D13" s="193"/>
      <c r="E13" s="194"/>
      <c r="F13" s="195"/>
      <c r="G13" s="28"/>
      <c r="H13" s="185" t="s">
        <v>78</v>
      </c>
      <c r="I13" s="186"/>
      <c r="J13" s="189"/>
      <c r="K13" s="190">
        <f>+K12/K11</f>
        <v>1.0961538461538463</v>
      </c>
      <c r="L13" s="23"/>
      <c r="M13" s="23"/>
      <c r="N13" s="185" t="s">
        <v>408</v>
      </c>
      <c r="O13" s="186"/>
      <c r="P13" s="220">
        <v>119.2</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v>0</v>
      </c>
    </row>
    <row r="14" spans="1:47" ht="15" customHeight="1" x14ac:dyDescent="0.3">
      <c r="A14" s="26"/>
      <c r="B14" s="185" t="s">
        <v>76</v>
      </c>
      <c r="C14" s="196"/>
      <c r="D14" s="197"/>
      <c r="E14" s="198"/>
      <c r="F14" s="199"/>
      <c r="G14" s="28"/>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x14ac:dyDescent="0.3">
      <c r="A15" s="26"/>
      <c r="B15" s="23"/>
      <c r="C15" s="23"/>
      <c r="D15" s="25" t="str">
        <f>+IF(OR(AND(D14&gt;0,D14&lt;D13),AND(D13&gt;0,D13&lt;D12)),"ERROR IN ORDER OF DATES","")</f>
        <v/>
      </c>
      <c r="E15" s="23"/>
      <c r="F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x14ac:dyDescent="0.3">
      <c r="A16" s="26" t="s">
        <v>3</v>
      </c>
      <c r="B16" s="27" t="s">
        <v>79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x14ac:dyDescent="0.3">
      <c r="A17" s="26"/>
      <c r="B17" s="270" t="s">
        <v>80</v>
      </c>
      <c r="C17" s="271"/>
      <c r="D17" s="271"/>
      <c r="E17" s="272"/>
      <c r="F17" s="252" t="s">
        <v>0</v>
      </c>
      <c r="G17" s="252" t="s">
        <v>81</v>
      </c>
      <c r="H17" s="255" t="str">
        <f>"At time of raising charge notice ("&amp;TEXT($J$11,"mmm'yy")&amp;")"</f>
        <v>At time of raising charge notice (Dec'21)</v>
      </c>
      <c r="I17" s="256"/>
      <c r="J17" s="256"/>
      <c r="K17" s="256"/>
      <c r="L17" s="256"/>
      <c r="M17" s="256"/>
      <c r="N17" s="256"/>
      <c r="O17" s="256"/>
      <c r="P17" s="257"/>
      <c r="Q17" s="23"/>
      <c r="R17" s="255" t="str">
        <f>"At payment  ("&amp;TEXT($J$12,"mmm'yy")&amp;")"</f>
        <v>At payment  (Dec'23)</v>
      </c>
      <c r="S17" s="256"/>
      <c r="T17" s="256"/>
      <c r="U17" s="257"/>
      <c r="V17" s="23"/>
      <c r="W17" s="258" t="s">
        <v>433</v>
      </c>
      <c r="X17" s="255" t="s">
        <v>360</v>
      </c>
      <c r="Y17" s="256"/>
      <c r="Z17" s="256"/>
      <c r="AA17" s="256"/>
      <c r="AB17" s="257"/>
      <c r="AC17" s="255" t="s">
        <v>362</v>
      </c>
      <c r="AD17" s="256"/>
      <c r="AE17" s="256"/>
      <c r="AF17" s="256"/>
      <c r="AG17" s="256"/>
      <c r="AH17" s="257"/>
      <c r="AI17" s="23"/>
      <c r="AJ17" s="23"/>
      <c r="AK17" s="23"/>
      <c r="AL17" s="23"/>
      <c r="AM17" s="23"/>
      <c r="AN17" s="23"/>
      <c r="AO17" s="23"/>
      <c r="AP17" s="23"/>
      <c r="AQ17" s="23"/>
      <c r="AR17" s="23"/>
      <c r="AS17" s="23"/>
      <c r="AT17" s="23"/>
      <c r="AU17" s="23"/>
    </row>
    <row r="18" spans="1:47" ht="20.25" customHeight="1" x14ac:dyDescent="0.3">
      <c r="A18" s="26"/>
      <c r="B18" s="309"/>
      <c r="C18" s="310"/>
      <c r="D18" s="310"/>
      <c r="E18" s="311"/>
      <c r="F18" s="253"/>
      <c r="G18" s="253"/>
      <c r="H18" s="273" t="s">
        <v>473</v>
      </c>
      <c r="I18" s="274"/>
      <c r="J18" s="255" t="s">
        <v>476</v>
      </c>
      <c r="K18" s="256"/>
      <c r="L18" s="256"/>
      <c r="M18" s="256"/>
      <c r="N18" s="257"/>
      <c r="O18" s="258" t="s">
        <v>83</v>
      </c>
      <c r="P18" s="258" t="s">
        <v>84</v>
      </c>
      <c r="Q18" s="23"/>
      <c r="R18" s="258" t="s">
        <v>473</v>
      </c>
      <c r="S18" s="258" t="s">
        <v>404</v>
      </c>
      <c r="T18" s="258" t="s">
        <v>83</v>
      </c>
      <c r="U18" s="258" t="s">
        <v>84</v>
      </c>
      <c r="V18" s="23"/>
      <c r="W18" s="321"/>
      <c r="X18" s="258" t="s">
        <v>341</v>
      </c>
      <c r="Y18" s="258" t="s">
        <v>342</v>
      </c>
      <c r="Z18" s="258" t="s">
        <v>277</v>
      </c>
      <c r="AA18" s="258" t="s">
        <v>344</v>
      </c>
      <c r="AB18" s="258" t="s">
        <v>343</v>
      </c>
      <c r="AC18" s="258" t="s">
        <v>20</v>
      </c>
      <c r="AD18" s="258" t="s">
        <v>21</v>
      </c>
      <c r="AE18" s="258" t="s">
        <v>22</v>
      </c>
      <c r="AF18" s="258" t="s">
        <v>23</v>
      </c>
      <c r="AG18" s="258" t="s">
        <v>24</v>
      </c>
      <c r="AH18" s="258" t="s">
        <v>25</v>
      </c>
      <c r="AI18" s="23"/>
      <c r="AJ18" s="23"/>
      <c r="AK18" s="23"/>
      <c r="AL18" s="23"/>
      <c r="AM18" s="23"/>
      <c r="AN18" s="23"/>
      <c r="AO18" s="23"/>
      <c r="AP18" s="23"/>
      <c r="AQ18" s="23"/>
      <c r="AR18" s="23"/>
      <c r="AS18" s="23"/>
      <c r="AT18" s="23"/>
      <c r="AU18" s="23"/>
    </row>
    <row r="19" spans="1:47" ht="18.75" customHeight="1" x14ac:dyDescent="0.3">
      <c r="A19" s="26"/>
      <c r="B19" s="312"/>
      <c r="C19" s="313"/>
      <c r="D19" s="313"/>
      <c r="E19" s="314"/>
      <c r="F19" s="254"/>
      <c r="G19" s="254"/>
      <c r="H19" s="37" t="s">
        <v>474</v>
      </c>
      <c r="I19" s="37" t="s">
        <v>85</v>
      </c>
      <c r="J19" s="255" t="s">
        <v>82</v>
      </c>
      <c r="K19" s="256"/>
      <c r="L19" s="257"/>
      <c r="M19" s="37" t="s">
        <v>86</v>
      </c>
      <c r="N19" s="37" t="s">
        <v>85</v>
      </c>
      <c r="O19" s="259"/>
      <c r="P19" s="259"/>
      <c r="Q19" s="23"/>
      <c r="R19" s="259"/>
      <c r="S19" s="259"/>
      <c r="T19" s="259"/>
      <c r="U19" s="259"/>
      <c r="V19" s="23"/>
      <c r="W19" s="259"/>
      <c r="X19" s="259"/>
      <c r="Y19" s="259"/>
      <c r="Z19" s="259"/>
      <c r="AA19" s="259"/>
      <c r="AB19" s="259"/>
      <c r="AC19" s="259"/>
      <c r="AD19" s="259"/>
      <c r="AE19" s="259"/>
      <c r="AF19" s="259"/>
      <c r="AG19" s="259"/>
      <c r="AH19" s="259"/>
      <c r="AI19" s="23"/>
      <c r="AJ19" s="23"/>
      <c r="AK19" s="23"/>
      <c r="AL19" s="23"/>
      <c r="AM19" s="23"/>
      <c r="AN19" s="23"/>
      <c r="AO19" s="23"/>
      <c r="AP19" s="23"/>
      <c r="AQ19" s="23"/>
      <c r="AR19" s="23"/>
      <c r="AS19" s="23"/>
      <c r="AT19" s="23"/>
      <c r="AU19" s="23"/>
    </row>
    <row r="20" spans="1:47" ht="16.5" x14ac:dyDescent="0.3">
      <c r="A20" s="26"/>
      <c r="B20" s="306"/>
      <c r="C20" s="307"/>
      <c r="D20" s="307"/>
      <c r="E20" s="308"/>
      <c r="F20" s="200">
        <f>+INDEX('Reference data'!$C$10:$C$174,Calculation!$AU20)</f>
        <v>0</v>
      </c>
      <c r="G20" s="201"/>
      <c r="H20" s="202" t="str">
        <f>IF(AU20=1,"",(IF(INDEX('Reference data'!$B$10:$B$174,$AU20)="FPA","FPA",INDEX('Reference data'!$B$10:$B$174,$AU20)*IF(INDEX('Reference data'!$G$10:$G174,$AU20)="Other",INDEX('Service areas'!$E$8:$E$20,Calculation!$AU$7),INDEX('Service areas'!$D$8:$D$20,Calculation!$AU$7))/100)))</f>
        <v/>
      </c>
      <c r="I20" s="203"/>
      <c r="J20" s="183" t="str">
        <f>IF(AU20=1,"",INDEX('Reference data'!$D$10:$D$174,$AU20))</f>
        <v/>
      </c>
      <c r="K20" s="184"/>
      <c r="L20" s="191"/>
      <c r="M20" s="202" t="str">
        <f>IF(AU20=1,"",INDEX('Reference data'!$F$10:$F$174,$AU20))</f>
        <v/>
      </c>
      <c r="N20" s="203"/>
      <c r="O20" s="204" t="str">
        <f>+IF(AU20=1,"",MIN(IF(H20="FPA",I20,H20),IF(M20="FPA",N20,M20)))</f>
        <v/>
      </c>
      <c r="P20" s="205" t="str">
        <f>+IF(AU20=1,"",O20*G20)</f>
        <v/>
      </c>
      <c r="Q20" s="23"/>
      <c r="R20" s="204" t="str">
        <f>IF(AU20=1,"",IF($D$14="","",IF(H20="FPA",I20,H20)*$K$13))</f>
        <v/>
      </c>
      <c r="S20" s="204" t="str">
        <f>+IF(AU20=1,"",IF($D$14="","",IF(M20="FPA",N20*$K$13,M20*$K$13)))</f>
        <v/>
      </c>
      <c r="T20" s="204" t="str">
        <f>+IF(AU20=1,"",IF($D$14="","",O20*$K$13))</f>
        <v/>
      </c>
      <c r="U20" s="205" t="str">
        <f>+IF(AU20=1,"",IF($D$14="","",T20*G20))</f>
        <v/>
      </c>
      <c r="V20" s="23"/>
      <c r="W20" s="224" t="str">
        <f>+IFERROR(INDEX('Reference data'!$Z$10:$AU$174,MATCH(Calculation!B20,'Reference data'!$A$10:$A$174,0),MATCH(Calculation!$D$10,'Reference data'!$Z$9:$AU$9,0)),"")</f>
        <v/>
      </c>
      <c r="X20" s="42">
        <f>+(INDEX('Reference data'!$L$10:$L$172,AU20)+INDEX('Reference data'!$M$10:$M$172,AU20)*G20)/'Reference data'!$V$11</f>
        <v>0</v>
      </c>
      <c r="Y20" s="42">
        <f>+(INDEX('Reference data'!$N$10:$N$172,AU20)+INDEX('Reference data'!$O$10:$O$172,AU20)*G20)/'Reference data'!$V$12</f>
        <v>0</v>
      </c>
      <c r="Z20" s="42">
        <f>+INDEX('Reference data'!$P$10:$P$172,AU20)*G20</f>
        <v>0</v>
      </c>
      <c r="AA20" s="42">
        <f>+INDEX('Reference data'!$Q$10:$Q$172,AU20)*G20</f>
        <v>0</v>
      </c>
      <c r="AB20" s="42">
        <f>+INDEX('Reference data'!$R$10:$R$172,AU20)*G20</f>
        <v>0</v>
      </c>
      <c r="AC20" s="41" t="str">
        <f>+IFERROR(INDEX('Service areas'!F$8:F$20,MATCH(Calculation!$H$7,'Service areas'!$A$8:$A$20,0))*X20,"")</f>
        <v/>
      </c>
      <c r="AD20" s="41" t="str">
        <f>+IFERROR(INDEX('Service areas'!G$8:G$20,MATCH(Calculation!$H$7,'Service areas'!$A$8:$A$20,0))*Y20,"")</f>
        <v/>
      </c>
      <c r="AE20" s="41" t="str">
        <f>+IFERROR(INDEX('Service areas'!H$8:H$20,MATCH(Calculation!$H$7,'Service areas'!$A$8:$A$20,0))*Z20,"")</f>
        <v/>
      </c>
      <c r="AF20" s="41" t="str">
        <f>+IFERROR(INDEX('Service areas'!I$8:I$20,MATCH(Calculation!$H$7,'Service areas'!$A$8:$A$20,0))*AA20,"")</f>
        <v/>
      </c>
      <c r="AG20" s="41" t="str">
        <f>+IFERROR(INDEX('Service areas'!J$8:J$20,MATCH(Calculation!$H$7,'Service areas'!$A$8:$A$20,0))*AB20,"")</f>
        <v/>
      </c>
      <c r="AH20" s="65">
        <f>SUM(AC20:AG20)</f>
        <v>0</v>
      </c>
      <c r="AI20" s="23"/>
      <c r="AJ20" s="23"/>
      <c r="AK20" s="23"/>
      <c r="AL20" s="23"/>
      <c r="AM20" s="23"/>
      <c r="AN20" s="23"/>
      <c r="AO20" s="23"/>
      <c r="AP20" s="23"/>
      <c r="AQ20" s="23"/>
      <c r="AR20" s="23"/>
      <c r="AS20" s="23"/>
      <c r="AT20" s="23"/>
      <c r="AU20" s="23">
        <f>IF(B20="",1,MATCH(B20,'Reference data'!$A$10:$A$174,0))</f>
        <v>1</v>
      </c>
    </row>
    <row r="21" spans="1:47" ht="15.75" customHeight="1" x14ac:dyDescent="0.3">
      <c r="A21" s="26"/>
      <c r="B21" s="298"/>
      <c r="C21" s="299"/>
      <c r="D21" s="299"/>
      <c r="E21" s="300"/>
      <c r="F21" s="206">
        <f>+INDEX('Reference data'!$C$10:$C$174,Calculation!$AU21)</f>
        <v>0</v>
      </c>
      <c r="G21" s="207"/>
      <c r="H21" s="208" t="str">
        <f>IF(AU21=1,"",(IF(INDEX('Reference data'!$B$10:$B$174,$AU21)="FPA","FPA",INDEX('Reference data'!$B$10:$B$174,$AU21)*IF(INDEX('Reference data'!$G$10:$G175,$AU21)="Other",INDEX('Service areas'!$E$8:$E$20,Calculation!$AU$7),INDEX('Service areas'!$D$8:$D$20,Calculation!$AU$7))/100)))</f>
        <v/>
      </c>
      <c r="I21" s="209"/>
      <c r="J21" s="187" t="str">
        <f>IF(AU21=1,"",INDEX('Reference data'!$D$10:$D$174,$AU21))</f>
        <v/>
      </c>
      <c r="K21" s="188"/>
      <c r="L21" s="192"/>
      <c r="M21" s="208" t="str">
        <f>IF(AU21=1,"",INDEX('Reference data'!$F$10:$F$174,$AU21))</f>
        <v/>
      </c>
      <c r="N21" s="209"/>
      <c r="O21" s="210" t="str">
        <f>+IF(AU21=1,"",MIN(IF(H21="FPA",I21,H21),IF(M21="FPA",N21,M21)))</f>
        <v/>
      </c>
      <c r="P21" s="211" t="str">
        <f>+IF(AU21=1,"",O21*G21)</f>
        <v/>
      </c>
      <c r="Q21" s="23"/>
      <c r="R21" s="210" t="str">
        <f>IF(AU21=1,"",IF($D$14="","",IF(H21="FPA",I21,H21)*$K$13))</f>
        <v/>
      </c>
      <c r="S21" s="210" t="str">
        <f>+IF(AU21=1,"",IF($D$14="","",IF(M21="FPA",N21*$K$13,M21*$K$13)))</f>
        <v/>
      </c>
      <c r="T21" s="210" t="str">
        <f t="shared" ref="T21:T24" si="0">+IF(AU21=1,"",IF($D$14="","",O21*$K$13))</f>
        <v/>
      </c>
      <c r="U21" s="211" t="str">
        <f>+IF(AU21=1,"",IF($D$14="","",T21*G21))</f>
        <v/>
      </c>
      <c r="V21" s="23"/>
      <c r="W21" s="223" t="str">
        <f>+IFERROR(INDEX('Reference data'!$Z$10:$AU$174,MATCH(Calculation!B21,'Reference data'!$A$10:$A$174,0),MATCH(Calculation!$D$10,'Reference data'!$Z$9:$AU$9,0)),"")</f>
        <v/>
      </c>
      <c r="X21" s="42">
        <f>+(INDEX('Reference data'!$L$10:$L$172,AU21)+INDEX('Reference data'!$M$10:$M$172,AU21)*G21)/'Reference data'!$V$11</f>
        <v>0</v>
      </c>
      <c r="Y21" s="42">
        <f>+(INDEX('Reference data'!$N$10:$N$172,AU21)+INDEX('Reference data'!$O$10:$O$172,AU21)*G21)/'Reference data'!$V$12</f>
        <v>0</v>
      </c>
      <c r="Z21" s="42">
        <f>+INDEX('Reference data'!$P$10:$P$172,AU21)*G21</f>
        <v>0</v>
      </c>
      <c r="AA21" s="42">
        <f>+INDEX('Reference data'!$Q$10:$Q$172,AU21)*G21</f>
        <v>0</v>
      </c>
      <c r="AB21" s="42">
        <f>+INDEX('Reference data'!$R$10:$R$172,AU21)*G21</f>
        <v>0</v>
      </c>
      <c r="AC21" s="41" t="str">
        <f>+IFERROR(INDEX('Service areas'!F$8:F$20,MATCH(Calculation!$H$7,'Service areas'!$A$8:$A$20,0))*X21,"")</f>
        <v/>
      </c>
      <c r="AD21" s="41" t="str">
        <f>+IFERROR(INDEX('Service areas'!G$8:G$20,MATCH(Calculation!$H$7,'Service areas'!$A$8:$A$20,0))*Y21,"")</f>
        <v/>
      </c>
      <c r="AE21" s="41" t="str">
        <f>+IFERROR(INDEX('Service areas'!H$8:H$20,MATCH(Calculation!$H$7,'Service areas'!$A$8:$A$20,0))*Z21,"")</f>
        <v/>
      </c>
      <c r="AF21" s="41" t="str">
        <f>+IFERROR(INDEX('Service areas'!I$8:I$20,MATCH(Calculation!$H$7,'Service areas'!$A$8:$A$20,0))*AA21,"")</f>
        <v/>
      </c>
      <c r="AG21" s="41" t="str">
        <f>+IFERROR(INDEX('Service areas'!J$8:J$20,MATCH(Calculation!$H$7,'Service areas'!$A$8:$A$20,0))*AB21,"")</f>
        <v/>
      </c>
      <c r="AH21" s="42">
        <f t="shared" ref="AH21:AH24" si="1">SUM(AC21:AG21)</f>
        <v>0</v>
      </c>
      <c r="AI21" s="23"/>
      <c r="AJ21" s="23"/>
      <c r="AK21" s="23"/>
      <c r="AL21" s="23"/>
      <c r="AM21" s="23"/>
      <c r="AN21" s="23"/>
      <c r="AO21" s="23"/>
      <c r="AP21" s="23"/>
      <c r="AQ21" s="23"/>
      <c r="AR21" s="23"/>
      <c r="AS21" s="23"/>
      <c r="AT21" s="23"/>
      <c r="AU21" s="23">
        <f>IF(B21="",1,MATCH(B21,'Reference data'!$A$10:$A$174,0))</f>
        <v>1</v>
      </c>
    </row>
    <row r="22" spans="1:47" ht="15.75" customHeight="1" x14ac:dyDescent="0.3">
      <c r="A22" s="26"/>
      <c r="B22" s="298"/>
      <c r="C22" s="299"/>
      <c r="D22" s="299"/>
      <c r="E22" s="300"/>
      <c r="F22" s="206">
        <f>+INDEX('Reference data'!$C$10:$C$174,Calculation!$AU22)</f>
        <v>0</v>
      </c>
      <c r="G22" s="207"/>
      <c r="H22" s="208" t="str">
        <f>IF(AU22=1,"",(IF(INDEX('Reference data'!$B$10:$B$174,$AU22)="FPA","FPA",INDEX('Reference data'!$B$10:$B$174,$AU22)*IF(INDEX('Reference data'!$G$10:$G176,$AU22)="Other",INDEX('Service areas'!$E$8:$E$20,Calculation!$AU$7),INDEX('Service areas'!$D$8:$D$20,Calculation!$AU$7))/100)))</f>
        <v/>
      </c>
      <c r="I22" s="209"/>
      <c r="J22" s="187" t="str">
        <f>IF(AU22=1,"",INDEX('Reference data'!$D$10:$D$174,$AU22))</f>
        <v/>
      </c>
      <c r="K22" s="188"/>
      <c r="L22" s="192"/>
      <c r="M22" s="208" t="str">
        <f>IF(AU22=1,"",INDEX('Reference data'!$F$10:$F$174,$AU22))</f>
        <v/>
      </c>
      <c r="N22" s="209"/>
      <c r="O22" s="210" t="str">
        <f>+IF(AU22=1,"",MIN(IF(H22="FPA",I22,H22),IF(M22="FPA",N22,M22)))</f>
        <v/>
      </c>
      <c r="P22" s="211" t="str">
        <f>+IF(AU22=1,"",O22*G22)</f>
        <v/>
      </c>
      <c r="Q22" s="23"/>
      <c r="R22" s="210" t="str">
        <f>IF(AU22=1,"",IF($D$14="","",IF(H22="FPA",I22,H22)*$K$13))</f>
        <v/>
      </c>
      <c r="S22" s="210" t="str">
        <f>+IF(AU22=1,"",IF($D$14="","",IF(M22="FPA",N22*$K$13,M22*$K$13)))</f>
        <v/>
      </c>
      <c r="T22" s="210" t="str">
        <f t="shared" si="0"/>
        <v/>
      </c>
      <c r="U22" s="211" t="str">
        <f>+IF(AU22=1,"",IF($D$14="","",T22*G22))</f>
        <v/>
      </c>
      <c r="V22" s="23"/>
      <c r="W22" s="223" t="str">
        <f>+IFERROR(INDEX('Reference data'!$Z$10:$AU$174,MATCH(Calculation!B22,'Reference data'!$A$10:$A$174,0),MATCH(Calculation!$D$10,'Reference data'!$Z$9:$AU$9,0)),"")</f>
        <v/>
      </c>
      <c r="X22" s="42">
        <f>+(INDEX('Reference data'!$L$10:$L$172,AU22)+INDEX('Reference data'!$M$10:$M$172,AU22)*G22)/'Reference data'!$V$11</f>
        <v>0</v>
      </c>
      <c r="Y22" s="42">
        <f>+(INDEX('Reference data'!$N$10:$N$172,AU22)+INDEX('Reference data'!$O$10:$O$172,AU22)*G22)/'Reference data'!$V$12</f>
        <v>0</v>
      </c>
      <c r="Z22" s="42">
        <f>+INDEX('Reference data'!$P$10:$P$172,AU22)*G22</f>
        <v>0</v>
      </c>
      <c r="AA22" s="42">
        <f>+INDEX('Reference data'!$Q$10:$Q$172,AU22)*G22</f>
        <v>0</v>
      </c>
      <c r="AB22" s="42">
        <f>+INDEX('Reference data'!$R$10:$R$172,AU22)*G22</f>
        <v>0</v>
      </c>
      <c r="AC22" s="41" t="str">
        <f>+IFERROR(INDEX('Service areas'!F$8:F$20,MATCH(Calculation!$H$7,'Service areas'!$A$8:$A$20,0))*X22,"")</f>
        <v/>
      </c>
      <c r="AD22" s="41" t="str">
        <f>+IFERROR(INDEX('Service areas'!G$8:G$20,MATCH(Calculation!$H$7,'Service areas'!$A$8:$A$20,0))*Y22,"")</f>
        <v/>
      </c>
      <c r="AE22" s="41" t="str">
        <f>+IFERROR(INDEX('Service areas'!H$8:H$20,MATCH(Calculation!$H$7,'Service areas'!$A$8:$A$20,0))*Z22,"")</f>
        <v/>
      </c>
      <c r="AF22" s="41" t="str">
        <f>+IFERROR(INDEX('Service areas'!I$8:I$20,MATCH(Calculation!$H$7,'Service areas'!$A$8:$A$20,0))*AA22,"")</f>
        <v/>
      </c>
      <c r="AG22" s="41" t="str">
        <f>+IFERROR(INDEX('Service areas'!J$8:J$20,MATCH(Calculation!$H$7,'Service areas'!$A$8:$A$20,0))*AB22,"")</f>
        <v/>
      </c>
      <c r="AH22" s="42">
        <f t="shared" si="1"/>
        <v>0</v>
      </c>
      <c r="AI22" s="23"/>
      <c r="AJ22" s="23"/>
      <c r="AK22" s="23"/>
      <c r="AL22" s="23"/>
      <c r="AM22" s="23"/>
      <c r="AN22" s="23"/>
      <c r="AO22" s="23"/>
      <c r="AP22" s="23"/>
      <c r="AQ22" s="23"/>
      <c r="AR22" s="23"/>
      <c r="AS22" s="23"/>
      <c r="AT22" s="23"/>
      <c r="AU22" s="23">
        <f>IF(B22="",1,MATCH(B22,'Reference data'!$A$10:$A$174,0))</f>
        <v>1</v>
      </c>
    </row>
    <row r="23" spans="1:47" ht="15.75" customHeight="1" x14ac:dyDescent="0.3">
      <c r="A23" s="26"/>
      <c r="B23" s="298"/>
      <c r="C23" s="299"/>
      <c r="D23" s="299"/>
      <c r="E23" s="300"/>
      <c r="F23" s="206">
        <f>+INDEX('Reference data'!$C$10:$C$174,Calculation!$AU23)</f>
        <v>0</v>
      </c>
      <c r="G23" s="207"/>
      <c r="H23" s="208" t="str">
        <f>IF(AU23=1,"",(IF(INDEX('Reference data'!$B$10:$B$174,$AU23)="FPA","FPA",INDEX('Reference data'!$B$10:$B$174,$AU23)*IF(INDEX('Reference data'!$G$10:$G177,$AU23)="Other",INDEX('Service areas'!$E$8:$E$20,Calculation!$AU$7),INDEX('Service areas'!$D$8:$D$20,Calculation!$AU$7))/100)))</f>
        <v/>
      </c>
      <c r="I23" s="209"/>
      <c r="J23" s="187" t="str">
        <f>IF(AU23=1,"",INDEX('Reference data'!$D$10:$D$174,$AU23))</f>
        <v/>
      </c>
      <c r="K23" s="188"/>
      <c r="L23" s="192"/>
      <c r="M23" s="208" t="str">
        <f>IF(AU23=1,"",INDEX('Reference data'!$F$10:$F$174,$AU23))</f>
        <v/>
      </c>
      <c r="N23" s="209"/>
      <c r="O23" s="210" t="str">
        <f>+IF(AU23=1,"",MIN(IF(H23="FPA",I23,H23),IF(M23="FPA",N23,M23)))</f>
        <v/>
      </c>
      <c r="P23" s="211" t="str">
        <f>+IF(AU23=1,"",O23*G23)</f>
        <v/>
      </c>
      <c r="Q23" s="23"/>
      <c r="R23" s="210" t="str">
        <f>IF(AU23=1,"",IF($D$14="","",IF(H23="FPA",I23,H23)*$K$13))</f>
        <v/>
      </c>
      <c r="S23" s="210" t="str">
        <f>+IF(AU23=1,"",IF($D$14="","",IF(M23="FPA",N23*$K$13,M23*$K$13)))</f>
        <v/>
      </c>
      <c r="T23" s="210" t="str">
        <f t="shared" si="0"/>
        <v/>
      </c>
      <c r="U23" s="211" t="str">
        <f>+IF(AU23=1,"",IF($D$14="","",T23*G23))</f>
        <v/>
      </c>
      <c r="V23" s="23"/>
      <c r="W23" s="223" t="str">
        <f>+IFERROR(INDEX('Reference data'!$Z$10:$AU$174,MATCH(Calculation!B23,'Reference data'!$A$10:$A$174,0),MATCH(Calculation!$D$10,'Reference data'!$Z$9:$AU$9,0)),"")</f>
        <v/>
      </c>
      <c r="X23" s="42">
        <f>+(INDEX('Reference data'!$L$10:$L$172,AU23)+INDEX('Reference data'!$M$10:$M$172,AU23)*G23)/'Reference data'!$V$11</f>
        <v>0</v>
      </c>
      <c r="Y23" s="42">
        <f>+(INDEX('Reference data'!$N$10:$N$172,AU23)+INDEX('Reference data'!$O$10:$O$172,AU23)*G23)/'Reference data'!$V$12</f>
        <v>0</v>
      </c>
      <c r="Z23" s="42">
        <f>+INDEX('Reference data'!$P$10:$P$172,AU23)*G23</f>
        <v>0</v>
      </c>
      <c r="AA23" s="42">
        <f>+INDEX('Reference data'!$Q$10:$Q$172,AU23)*G23</f>
        <v>0</v>
      </c>
      <c r="AB23" s="42">
        <f>+INDEX('Reference data'!$R$10:$R$172,AU23)*G23</f>
        <v>0</v>
      </c>
      <c r="AC23" s="41" t="str">
        <f>+IFERROR(INDEX('Service areas'!F$8:F$20,MATCH(Calculation!$H$7,'Service areas'!$A$8:$A$20,0))*X23,"")</f>
        <v/>
      </c>
      <c r="AD23" s="41" t="str">
        <f>+IFERROR(INDEX('Service areas'!G$8:G$20,MATCH(Calculation!$H$7,'Service areas'!$A$8:$A$20,0))*Y23,"")</f>
        <v/>
      </c>
      <c r="AE23" s="41" t="str">
        <f>+IFERROR(INDEX('Service areas'!H$8:H$20,MATCH(Calculation!$H$7,'Service areas'!$A$8:$A$20,0))*Z23,"")</f>
        <v/>
      </c>
      <c r="AF23" s="41" t="str">
        <f>+IFERROR(INDEX('Service areas'!I$8:I$20,MATCH(Calculation!$H$7,'Service areas'!$A$8:$A$20,0))*AA23,"")</f>
        <v/>
      </c>
      <c r="AG23" s="41" t="str">
        <f>+IFERROR(INDEX('Service areas'!J$8:J$20,MATCH(Calculation!$H$7,'Service areas'!$A$8:$A$20,0))*AB23,"")</f>
        <v/>
      </c>
      <c r="AH23" s="42">
        <f t="shared" si="1"/>
        <v>0</v>
      </c>
      <c r="AI23" s="23"/>
      <c r="AJ23" s="23"/>
      <c r="AK23" s="23"/>
      <c r="AL23" s="23"/>
      <c r="AM23" s="23"/>
      <c r="AN23" s="23"/>
      <c r="AO23" s="23"/>
      <c r="AP23" s="23"/>
      <c r="AQ23" s="23"/>
      <c r="AR23" s="23"/>
      <c r="AS23" s="23"/>
      <c r="AT23" s="23"/>
      <c r="AU23" s="23">
        <f>IF(B23="",1,MATCH(B23,'Reference data'!$A$10:$A$174,0))</f>
        <v>1</v>
      </c>
    </row>
    <row r="24" spans="1:47" ht="15.75" customHeight="1" x14ac:dyDescent="0.3">
      <c r="A24" s="26"/>
      <c r="B24" s="301"/>
      <c r="C24" s="302"/>
      <c r="D24" s="302"/>
      <c r="E24" s="303"/>
      <c r="F24" s="212">
        <f>+INDEX('Reference data'!$C$10:$C$174,Calculation!$AU24)</f>
        <v>0</v>
      </c>
      <c r="G24" s="213"/>
      <c r="H24" s="214" t="str">
        <f>IF(AU24=1,"",(IF(INDEX('Reference data'!$B$10:$B$174,$AU24)="FPA","FPA",INDEX('Reference data'!$B$10:$B$174,$AU24)*IF(INDEX('Reference data'!$G$10:$G178,$AU24)="Other",INDEX('Service areas'!$E$8:$E$20,Calculation!$AU$7),INDEX('Service areas'!$D$8:$D$20,Calculation!$AU$7))/100)))</f>
        <v/>
      </c>
      <c r="I24" s="215"/>
      <c r="J24" s="185" t="str">
        <f>IF(AU24=1,"",INDEX('Reference data'!$D$10:$D$174,$AU24))</f>
        <v/>
      </c>
      <c r="K24" s="186"/>
      <c r="L24" s="196"/>
      <c r="M24" s="214" t="str">
        <f>IF(AU24=1,"",INDEX('Reference data'!$F$10:$F$174,$AU24))</f>
        <v/>
      </c>
      <c r="N24" s="215"/>
      <c r="O24" s="216" t="str">
        <f>+IF(AU24=1,"",MIN(IF(H24="FPA",I24,H24),IF(M24="FPA",N24,M24)))</f>
        <v/>
      </c>
      <c r="P24" s="217" t="str">
        <f>+IF(AU24=1,"",O24*G24)</f>
        <v/>
      </c>
      <c r="Q24" s="23"/>
      <c r="R24" s="216" t="str">
        <f>IF(AU24=1,"",IF($D$14="","",IF(H24="FPA",I24,H24)*$K$13))</f>
        <v/>
      </c>
      <c r="S24" s="216" t="str">
        <f>+IF(AU24=1,"",IF($D$14="","",IF(M24="FPA",N24*$K$13,M24*$K$13)))</f>
        <v/>
      </c>
      <c r="T24" s="216" t="str">
        <f t="shared" si="0"/>
        <v/>
      </c>
      <c r="U24" s="217" t="str">
        <f>+IF(AU24=1,"",IF($D$14="","",T24*G24))</f>
        <v/>
      </c>
      <c r="V24" s="23"/>
      <c r="W24" s="225" t="str">
        <f>+IFERROR(INDEX('Reference data'!$Z$10:$AU$174,MATCH(Calculation!B24,'Reference data'!$A$10:$A$174,0),MATCH(Calculation!$D$10,'Reference data'!$Z$9:$AU$9,0)),"")</f>
        <v/>
      </c>
      <c r="X24" s="42">
        <f>+(INDEX('Reference data'!$L$10:$L$172,AU24)+INDEX('Reference data'!$M$10:$M$172,AU24)*G24)/'Reference data'!$V$11</f>
        <v>0</v>
      </c>
      <c r="Y24" s="42">
        <f>+(INDEX('Reference data'!$N$10:$N$172,AU24)+INDEX('Reference data'!$O$10:$O$172,AU24)*G24)/'Reference data'!$V$12</f>
        <v>0</v>
      </c>
      <c r="Z24" s="42">
        <f>+INDEX('Reference data'!$P$10:$P$172,AU24)*G24</f>
        <v>0</v>
      </c>
      <c r="AA24" s="42">
        <f>+INDEX('Reference data'!$Q$10:$Q$172,AU24)*G24</f>
        <v>0</v>
      </c>
      <c r="AB24" s="42">
        <f>+INDEX('Reference data'!$R$10:$R$172,AU24)*G24</f>
        <v>0</v>
      </c>
      <c r="AC24" s="41" t="str">
        <f>+IFERROR(INDEX('Service areas'!F$8:F$20,MATCH(Calculation!$H$7,'Service areas'!$A$8:$A$20,0))*X24,"")</f>
        <v/>
      </c>
      <c r="AD24" s="41" t="str">
        <f>+IFERROR(INDEX('Service areas'!G$8:G$20,MATCH(Calculation!$H$7,'Service areas'!$A$8:$A$20,0))*Y24,"")</f>
        <v/>
      </c>
      <c r="AE24" s="41" t="str">
        <f>+IFERROR(INDEX('Service areas'!H$8:H$20,MATCH(Calculation!$H$7,'Service areas'!$A$8:$A$20,0))*Z24,"")</f>
        <v/>
      </c>
      <c r="AF24" s="41" t="str">
        <f>+IFERROR(INDEX('Service areas'!I$8:I$20,MATCH(Calculation!$H$7,'Service areas'!$A$8:$A$20,0))*AA24,"")</f>
        <v/>
      </c>
      <c r="AG24" s="41" t="str">
        <f>+IFERROR(INDEX('Service areas'!J$8:J$20,MATCH(Calculation!$H$7,'Service areas'!$A$8:$A$20,0))*AB24,"")</f>
        <v/>
      </c>
      <c r="AH24" s="43">
        <f t="shared" si="1"/>
        <v>0</v>
      </c>
      <c r="AI24" s="23"/>
      <c r="AJ24" s="23"/>
      <c r="AK24" s="23"/>
      <c r="AL24" s="23"/>
      <c r="AM24" s="23"/>
      <c r="AN24" s="23"/>
      <c r="AO24" s="23"/>
      <c r="AP24" s="23"/>
      <c r="AQ24" s="23"/>
      <c r="AR24" s="23"/>
      <c r="AS24" s="23"/>
      <c r="AT24" s="23"/>
      <c r="AU24" s="23">
        <f>IF(B24="",1,MATCH(B24,'Reference data'!$A$10:$A$174,0))</f>
        <v>1</v>
      </c>
    </row>
    <row r="25" spans="1:47" ht="15.75" customHeight="1" x14ac:dyDescent="0.3">
      <c r="A25" s="26"/>
      <c r="B25" s="23" t="s">
        <v>64</v>
      </c>
      <c r="C25" s="269"/>
      <c r="D25" s="269"/>
      <c r="E25" s="269"/>
      <c r="F25" s="269"/>
      <c r="G25" s="269"/>
      <c r="H25" s="269"/>
      <c r="I25" s="269"/>
      <c r="J25" s="269"/>
      <c r="K25" s="269"/>
      <c r="L25" s="269"/>
      <c r="M25" s="269"/>
      <c r="N25" s="269"/>
      <c r="O25" s="269"/>
      <c r="P25" s="44">
        <f>SUM(P20:P24)</f>
        <v>0</v>
      </c>
      <c r="Q25" s="23"/>
      <c r="R25" s="23"/>
      <c r="S25" s="23"/>
      <c r="T25" s="23"/>
      <c r="U25" s="44">
        <f>SUM(U20:U24)</f>
        <v>0</v>
      </c>
      <c r="V25" s="23"/>
      <c r="W25" s="23"/>
      <c r="X25" s="68" t="s">
        <v>350</v>
      </c>
      <c r="Y25" s="69"/>
      <c r="Z25" s="69"/>
      <c r="AA25" s="69"/>
      <c r="AB25" s="70"/>
      <c r="AC25" s="39">
        <f>SUM(AC20:AC24)</f>
        <v>0</v>
      </c>
      <c r="AD25" s="39">
        <f t="shared" ref="AD25:AH25" si="2">SUM(AD20:AD24)</f>
        <v>0</v>
      </c>
      <c r="AE25" s="39">
        <f t="shared" si="2"/>
        <v>0</v>
      </c>
      <c r="AF25" s="39">
        <f t="shared" si="2"/>
        <v>0</v>
      </c>
      <c r="AG25" s="39">
        <f t="shared" si="2"/>
        <v>0</v>
      </c>
      <c r="AH25" s="39">
        <f t="shared" si="2"/>
        <v>0</v>
      </c>
      <c r="AI25" s="23"/>
      <c r="AJ25" s="23"/>
      <c r="AK25" s="23"/>
      <c r="AL25" s="23"/>
      <c r="AM25" s="23"/>
      <c r="AN25" s="23"/>
      <c r="AO25" s="23"/>
      <c r="AP25" s="23"/>
      <c r="AQ25" s="23"/>
      <c r="AR25" s="23"/>
      <c r="AS25" s="23"/>
      <c r="AT25" s="23"/>
      <c r="AU25" s="23">
        <v>0</v>
      </c>
    </row>
    <row r="26" spans="1:47" ht="15.75" customHeight="1" x14ac:dyDescent="0.3">
      <c r="A26" s="26"/>
      <c r="B26" s="23"/>
      <c r="C26" s="23"/>
      <c r="D26" s="23"/>
      <c r="E26" s="23"/>
      <c r="F26" s="23"/>
      <c r="G26" s="23"/>
      <c r="H26" s="23"/>
      <c r="I26" s="23"/>
      <c r="J26" s="23"/>
      <c r="K26" s="23"/>
      <c r="L26" s="23"/>
      <c r="M26" s="23"/>
      <c r="N26" s="23"/>
      <c r="O26" s="23"/>
      <c r="P26" s="23"/>
      <c r="Q26" s="23"/>
      <c r="R26" s="23"/>
      <c r="S26" s="23"/>
      <c r="T26" s="23"/>
      <c r="U26" s="23"/>
      <c r="V26" s="23"/>
      <c r="W26" s="23"/>
      <c r="X26" s="68" t="s">
        <v>351</v>
      </c>
      <c r="Y26" s="69"/>
      <c r="Z26" s="69"/>
      <c r="AA26" s="69"/>
      <c r="AB26" s="70"/>
      <c r="AC26" s="66">
        <f>+IF($AH$25=0,0,AC25/$AH$25)</f>
        <v>0</v>
      </c>
      <c r="AD26" s="66">
        <f t="shared" ref="AD26:AH26" si="3">+IF($AH$25=0,0,AD25/$AH$25)</f>
        <v>0</v>
      </c>
      <c r="AE26" s="66">
        <f t="shared" si="3"/>
        <v>0</v>
      </c>
      <c r="AF26" s="66">
        <f t="shared" si="3"/>
        <v>0</v>
      </c>
      <c r="AG26" s="66">
        <f t="shared" si="3"/>
        <v>0</v>
      </c>
      <c r="AH26" s="66">
        <f t="shared" si="3"/>
        <v>0</v>
      </c>
      <c r="AI26" s="23"/>
      <c r="AJ26" s="23"/>
      <c r="AK26" s="23"/>
      <c r="AL26" s="23"/>
      <c r="AM26" s="23"/>
      <c r="AN26" s="23"/>
      <c r="AO26" s="23"/>
      <c r="AP26" s="23"/>
      <c r="AQ26" s="23"/>
      <c r="AR26" s="23"/>
      <c r="AS26" s="23"/>
      <c r="AT26" s="23"/>
      <c r="AU26" s="23"/>
    </row>
    <row r="27" spans="1:47" ht="16.5" x14ac:dyDescent="0.3">
      <c r="A27" s="26" t="s">
        <v>88</v>
      </c>
      <c r="B27" s="27" t="s">
        <v>89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6.5" customHeight="1" x14ac:dyDescent="0.3">
      <c r="A28" s="26"/>
      <c r="B28" s="270" t="s">
        <v>80</v>
      </c>
      <c r="C28" s="271"/>
      <c r="D28" s="271"/>
      <c r="E28" s="272"/>
      <c r="F28" s="252" t="s">
        <v>0</v>
      </c>
      <c r="G28" s="252" t="s">
        <v>81</v>
      </c>
      <c r="H28" s="255" t="str">
        <f>+H17</f>
        <v>At time of raising charge notice (Dec'21)</v>
      </c>
      <c r="I28" s="256"/>
      <c r="J28" s="256"/>
      <c r="K28" s="256"/>
      <c r="L28" s="256"/>
      <c r="M28" s="256"/>
      <c r="N28" s="256"/>
      <c r="O28" s="256"/>
      <c r="P28" s="257"/>
      <c r="Q28" s="23"/>
      <c r="R28" s="255" t="str">
        <f>+R17</f>
        <v>At payment  (Dec'23)</v>
      </c>
      <c r="S28" s="256"/>
      <c r="T28" s="256"/>
      <c r="U28" s="257"/>
      <c r="V28" s="23"/>
      <c r="W28" s="258" t="s">
        <v>433</v>
      </c>
      <c r="X28" s="255" t="s">
        <v>361</v>
      </c>
      <c r="Y28" s="256"/>
      <c r="Z28" s="256"/>
      <c r="AA28" s="256"/>
      <c r="AB28" s="257"/>
      <c r="AC28" s="255" t="s">
        <v>362</v>
      </c>
      <c r="AD28" s="256"/>
      <c r="AE28" s="256"/>
      <c r="AF28" s="256"/>
      <c r="AG28" s="256"/>
      <c r="AH28" s="257"/>
      <c r="AI28" s="23"/>
      <c r="AJ28" s="23"/>
      <c r="AK28" s="23"/>
      <c r="AL28" s="23"/>
      <c r="AM28" s="23"/>
      <c r="AN28" s="23"/>
      <c r="AO28" s="23"/>
      <c r="AP28" s="23"/>
      <c r="AQ28" s="23"/>
      <c r="AR28" s="23"/>
      <c r="AS28" s="23"/>
      <c r="AT28" s="23"/>
      <c r="AU28" s="23"/>
    </row>
    <row r="29" spans="1:47" ht="28.5" customHeight="1" x14ac:dyDescent="0.3">
      <c r="A29" s="26"/>
      <c r="B29" s="309"/>
      <c r="C29" s="310"/>
      <c r="D29" s="310"/>
      <c r="E29" s="311"/>
      <c r="F29" s="253"/>
      <c r="G29" s="253"/>
      <c r="H29" s="273" t="s">
        <v>473</v>
      </c>
      <c r="I29" s="274"/>
      <c r="J29" s="255" t="s">
        <v>476</v>
      </c>
      <c r="K29" s="256"/>
      <c r="L29" s="256"/>
      <c r="M29" s="256"/>
      <c r="N29" s="257"/>
      <c r="O29" s="258" t="s">
        <v>83</v>
      </c>
      <c r="P29" s="258" t="s">
        <v>84</v>
      </c>
      <c r="Q29" s="23"/>
      <c r="R29" s="258" t="s">
        <v>473</v>
      </c>
      <c r="S29" s="258" t="s">
        <v>404</v>
      </c>
      <c r="T29" s="258" t="s">
        <v>83</v>
      </c>
      <c r="U29" s="258" t="s">
        <v>84</v>
      </c>
      <c r="V29" s="23"/>
      <c r="W29" s="321"/>
      <c r="X29" s="258" t="s">
        <v>341</v>
      </c>
      <c r="Y29" s="258" t="s">
        <v>342</v>
      </c>
      <c r="Z29" s="258" t="s">
        <v>277</v>
      </c>
      <c r="AA29" s="258" t="s">
        <v>344</v>
      </c>
      <c r="AB29" s="258" t="s">
        <v>343</v>
      </c>
      <c r="AC29" s="258" t="s">
        <v>20</v>
      </c>
      <c r="AD29" s="258" t="s">
        <v>21</v>
      </c>
      <c r="AE29" s="258" t="s">
        <v>22</v>
      </c>
      <c r="AF29" s="258" t="s">
        <v>23</v>
      </c>
      <c r="AG29" s="258" t="s">
        <v>24</v>
      </c>
      <c r="AH29" s="258" t="s">
        <v>25</v>
      </c>
      <c r="AI29" s="23"/>
      <c r="AJ29" s="23"/>
      <c r="AK29" s="23"/>
      <c r="AL29" s="23"/>
      <c r="AM29" s="23"/>
      <c r="AN29" s="23"/>
      <c r="AO29" s="23"/>
      <c r="AP29" s="23"/>
      <c r="AQ29" s="23"/>
      <c r="AR29" s="23"/>
      <c r="AS29" s="23"/>
      <c r="AT29" s="23"/>
      <c r="AU29" s="23"/>
    </row>
    <row r="30" spans="1:47" ht="15.75" customHeight="1" x14ac:dyDescent="0.3">
      <c r="A30" s="26"/>
      <c r="B30" s="312"/>
      <c r="C30" s="313"/>
      <c r="D30" s="313"/>
      <c r="E30" s="314"/>
      <c r="F30" s="254"/>
      <c r="G30" s="254"/>
      <c r="H30" s="37" t="s">
        <v>474</v>
      </c>
      <c r="I30" s="37" t="s">
        <v>85</v>
      </c>
      <c r="J30" s="255" t="s">
        <v>82</v>
      </c>
      <c r="K30" s="256"/>
      <c r="L30" s="257"/>
      <c r="M30" s="37" t="s">
        <v>86</v>
      </c>
      <c r="N30" s="37" t="s">
        <v>85</v>
      </c>
      <c r="O30" s="259"/>
      <c r="P30" s="259"/>
      <c r="Q30" s="23"/>
      <c r="R30" s="259"/>
      <c r="S30" s="259"/>
      <c r="T30" s="259"/>
      <c r="U30" s="259"/>
      <c r="V30" s="23"/>
      <c r="W30" s="259"/>
      <c r="X30" s="259"/>
      <c r="Y30" s="259"/>
      <c r="Z30" s="259"/>
      <c r="AA30" s="259"/>
      <c r="AB30" s="259"/>
      <c r="AC30" s="259"/>
      <c r="AD30" s="259"/>
      <c r="AE30" s="259"/>
      <c r="AF30" s="259"/>
      <c r="AG30" s="259"/>
      <c r="AH30" s="259"/>
      <c r="AI30" s="23"/>
      <c r="AJ30" s="23"/>
      <c r="AK30" s="23"/>
      <c r="AL30" s="23"/>
      <c r="AM30" s="23"/>
      <c r="AN30" s="23"/>
      <c r="AO30" s="23"/>
      <c r="AP30" s="23"/>
      <c r="AQ30" s="23"/>
      <c r="AR30" s="23"/>
      <c r="AS30" s="23"/>
      <c r="AT30" s="23"/>
      <c r="AU30" s="23"/>
    </row>
    <row r="31" spans="1:47" ht="15" customHeight="1" x14ac:dyDescent="0.3">
      <c r="A31" s="26"/>
      <c r="B31" s="306"/>
      <c r="C31" s="307"/>
      <c r="D31" s="307"/>
      <c r="E31" s="308"/>
      <c r="F31" s="200">
        <f>+INDEX('Reference data'!$C$10:$C$174,Calculation!$AU31)</f>
        <v>0</v>
      </c>
      <c r="G31" s="201"/>
      <c r="H31" s="202" t="str">
        <f>IF(AU31=1,"",(IF(INDEX('Reference data'!$B$10:$B$174,$AU31)="FPA","FPA",INDEX('Reference data'!$B$10:$B$174,$AU31)*IF(INDEX('Reference data'!$G$10:$G185,$AU31)="Other",INDEX('Service areas'!$E$8:$E$20,Calculation!$AU$7),INDEX('Service areas'!$D$8:$D$20,Calculation!$AU$7))/100)))</f>
        <v/>
      </c>
      <c r="I31" s="203"/>
      <c r="J31" s="183" t="str">
        <f>IF(AU31=1,"",INDEX('Reference data'!$D$10:$D$174,$AU31))</f>
        <v/>
      </c>
      <c r="K31" s="184"/>
      <c r="L31" s="191"/>
      <c r="M31" s="234" t="str">
        <f>IF(AU31=1,"",INDEX('Reference data'!$F$10:$F$174,$AU31))</f>
        <v/>
      </c>
      <c r="N31" s="203"/>
      <c r="O31" s="204" t="str">
        <f>+IF(AU31=1,"",MIN(IF(H31="FPA",I31,H31),IF(M31="FPA",N31,M31)))</f>
        <v/>
      </c>
      <c r="P31" s="205" t="str">
        <f>+IF(AU31=1,"",O31*G31)</f>
        <v/>
      </c>
      <c r="Q31" s="23"/>
      <c r="R31" s="204" t="str">
        <f>IF(AU31=1,"",IF($D$14="","",IF(H31="FPA",I31,H31)*$K$13))</f>
        <v/>
      </c>
      <c r="S31" s="204" t="str">
        <f>+IF(AU31=1,"",IF($D$14="","",IF(M31="FPA",N31*$K$13,M31*$K$13)))</f>
        <v/>
      </c>
      <c r="T31" s="204" t="str">
        <f>+IF(AU31=1,"",IF($D$14="","",O31*$K$13))</f>
        <v/>
      </c>
      <c r="U31" s="205" t="str">
        <f>+IF(AU31=1,"",IF($D$14="","",T31*G31))</f>
        <v/>
      </c>
      <c r="V31" s="23"/>
      <c r="W31" s="224" t="str">
        <f>+IFERROR(INDEX('Reference data'!$Z$10:$AU$174,MATCH(Calculation!B31,'Reference data'!$A$10:$A$174,0),MATCH(Calculation!$D$10,'Reference data'!$Z$9:$AU$9,0)),"")</f>
        <v/>
      </c>
      <c r="X31" s="40">
        <f>+(INDEX('Reference data'!$L$10:$L$172,AU31)+INDEX('Reference data'!$M$10:$M$172,AU31)*G31)/'Reference data'!$V$11</f>
        <v>0</v>
      </c>
      <c r="Y31" s="40">
        <f>+(INDEX('Reference data'!$N$10:$N$172,AU31)+INDEX('Reference data'!$O$10:$O$172,AU31)*G31)/'Reference data'!$V$12</f>
        <v>0</v>
      </c>
      <c r="Z31" s="40">
        <f>+INDEX('Reference data'!$P$10:$P$172,AU31)*G31</f>
        <v>0</v>
      </c>
      <c r="AA31" s="40">
        <f>+INDEX('Reference data'!$Q$10:$Q$172,AU31)*G31</f>
        <v>0</v>
      </c>
      <c r="AB31" s="40">
        <f>+INDEX('Reference data'!$R$10:$R$172,AU31)*G31</f>
        <v>0</v>
      </c>
      <c r="AC31" s="41" t="str">
        <f>+IFERROR(INDEX('Service areas'!F$8:F$20,MATCH(Calculation!$H$7,'Service areas'!$A$8:$A$20,0))*X31,"")</f>
        <v/>
      </c>
      <c r="AD31" s="41" t="str">
        <f>+IFERROR(INDEX('Service areas'!G$8:G$20,MATCH(Calculation!$H$7,'Service areas'!$A$8:$A$20,0))*Y31,"")</f>
        <v/>
      </c>
      <c r="AE31" s="41" t="str">
        <f>+IFERROR(INDEX('Service areas'!H$8:H$20,MATCH(Calculation!$H$7,'Service areas'!$A$8:$A$20,0))*Z31,"")</f>
        <v/>
      </c>
      <c r="AF31" s="41" t="str">
        <f>+IFERROR(INDEX('Service areas'!I$8:I$20,MATCH(Calculation!$H$7,'Service areas'!$A$8:$A$20,0))*AA31,"")</f>
        <v/>
      </c>
      <c r="AG31" s="41" t="str">
        <f>+IFERROR(INDEX('Service areas'!J$8:J$20,MATCH(Calculation!$H$7,'Service areas'!$A$8:$A$20,0))*AB31,"")</f>
        <v/>
      </c>
      <c r="AH31" s="65">
        <f>SUM(AC31:AG31)</f>
        <v>0</v>
      </c>
      <c r="AI31" s="23"/>
      <c r="AJ31" s="23"/>
      <c r="AK31" s="23"/>
      <c r="AL31" s="23"/>
      <c r="AM31" s="23"/>
      <c r="AN31" s="23"/>
      <c r="AO31" s="23"/>
      <c r="AP31" s="23"/>
      <c r="AQ31" s="23"/>
      <c r="AR31" s="23"/>
      <c r="AS31" s="23"/>
      <c r="AT31" s="23"/>
      <c r="AU31" s="23">
        <f>IF(B31="",1,MATCH(B31,'Reference data'!$A$10:$A$174,0))</f>
        <v>1</v>
      </c>
    </row>
    <row r="32" spans="1:47" ht="15" customHeight="1" x14ac:dyDescent="0.3">
      <c r="A32" s="26"/>
      <c r="B32" s="298"/>
      <c r="C32" s="299"/>
      <c r="D32" s="299"/>
      <c r="E32" s="300"/>
      <c r="F32" s="206">
        <f>+INDEX('Reference data'!$C$10:$C$174,Calculation!$AU32)</f>
        <v>0</v>
      </c>
      <c r="G32" s="207"/>
      <c r="H32" s="208" t="str">
        <f>IF(AU32=1,"",(IF(INDEX('Reference data'!$B$10:$B$174,$AU32)="FPA","FPA",INDEX('Reference data'!$B$10:$B$174,$AU32)*IF(INDEX('Reference data'!$G$10:$G186,$AU32)="Other",INDEX('Service areas'!$E$8:$E$20,Calculation!$AU$7),INDEX('Service areas'!$D$8:$D$20,Calculation!$AU$7))/100)))</f>
        <v/>
      </c>
      <c r="I32" s="209"/>
      <c r="J32" s="187" t="str">
        <f>IF(AU32=1,"",INDEX('Reference data'!$D$10:$D$174,$AU32))</f>
        <v/>
      </c>
      <c r="K32" s="188"/>
      <c r="L32" s="192"/>
      <c r="M32" s="208" t="str">
        <f>IF(AU32=1,"",INDEX('Reference data'!$F$10:$F$174,$AU32))</f>
        <v/>
      </c>
      <c r="N32" s="209"/>
      <c r="O32" s="210" t="str">
        <f>+IF(AU32=1,"",MIN(IF(H32="FPA",I32,H32),IF(M32="FPA",N32,M32)))</f>
        <v/>
      </c>
      <c r="P32" s="211" t="str">
        <f>+IF(AU32=1,"",O32*G32)</f>
        <v/>
      </c>
      <c r="Q32" s="23"/>
      <c r="R32" s="210" t="str">
        <f>IF(AU32=1,"",IF($D$14="","",IF(H32="FPA",I32,H32)*$K$13))</f>
        <v/>
      </c>
      <c r="S32" s="210" t="str">
        <f>+IF(AU32=1,"",IF($D$14="","",IF(M32="FPA",N32*$K$13,M32*$K$13)))</f>
        <v/>
      </c>
      <c r="T32" s="210" t="str">
        <f t="shared" ref="T32:T35" si="4">+IF(AU32=1,"",IF($D$14="","",O32*$K$13))</f>
        <v/>
      </c>
      <c r="U32" s="211" t="str">
        <f>+IF(AU32=1,"",IF($D$14="","",T32*G32))</f>
        <v/>
      </c>
      <c r="V32" s="23"/>
      <c r="W32" s="223" t="str">
        <f>+IFERROR(INDEX('Reference data'!$Z$10:$AU$174,MATCH(Calculation!B32,'Reference data'!$A$10:$A$174,0),MATCH(Calculation!$D$10,'Reference data'!$Z$9:$AU$9,0)),"")</f>
        <v/>
      </c>
      <c r="X32" s="42">
        <f>+(INDEX('Reference data'!$L$10:$L$172,AU32)+INDEX('Reference data'!$M$10:$M$172,AU32)*G32)/'Reference data'!$V$11</f>
        <v>0</v>
      </c>
      <c r="Y32" s="42">
        <f>+(INDEX('Reference data'!$N$10:$N$172,AU32)+INDEX('Reference data'!$O$10:$O$172,AU32)*G32)/'Reference data'!$V$12</f>
        <v>0</v>
      </c>
      <c r="Z32" s="42">
        <f>+INDEX('Reference data'!$P$10:$P$172,AU32)*G32</f>
        <v>0</v>
      </c>
      <c r="AA32" s="42">
        <f>+INDEX('Reference data'!$Q$10:$Q$172,AU32)*G32</f>
        <v>0</v>
      </c>
      <c r="AB32" s="42">
        <f>+INDEX('Reference data'!$R$10:$R$172,AU32)*G32</f>
        <v>0</v>
      </c>
      <c r="AC32" s="41" t="str">
        <f>+IFERROR(INDEX('Service areas'!F$8:F$20,MATCH(Calculation!$H$7,'Service areas'!$A$8:$A$20,0))*X32,"")</f>
        <v/>
      </c>
      <c r="AD32" s="41" t="str">
        <f>+IFERROR(INDEX('Service areas'!G$8:G$20,MATCH(Calculation!$H$7,'Service areas'!$A$8:$A$20,0))*Y32,"")</f>
        <v/>
      </c>
      <c r="AE32" s="41" t="str">
        <f>+IFERROR(INDEX('Service areas'!H$8:H$20,MATCH(Calculation!$H$7,'Service areas'!$A$8:$A$20,0))*Z32,"")</f>
        <v/>
      </c>
      <c r="AF32" s="41" t="str">
        <f>+IFERROR(INDEX('Service areas'!I$8:I$20,MATCH(Calculation!$H$7,'Service areas'!$A$8:$A$20,0))*AA32,"")</f>
        <v/>
      </c>
      <c r="AG32" s="41" t="str">
        <f>+IFERROR(INDEX('Service areas'!J$8:J$20,MATCH(Calculation!$H$7,'Service areas'!$A$8:$A$20,0))*AB32,"")</f>
        <v/>
      </c>
      <c r="AH32" s="42">
        <f t="shared" ref="AH32:AH35" si="5">SUM(AC32:AG32)</f>
        <v>0</v>
      </c>
      <c r="AI32" s="23"/>
      <c r="AJ32" s="23"/>
      <c r="AK32" s="23"/>
      <c r="AL32" s="23"/>
      <c r="AM32" s="23"/>
      <c r="AN32" s="23"/>
      <c r="AO32" s="23"/>
      <c r="AP32" s="23"/>
      <c r="AQ32" s="23"/>
      <c r="AR32" s="23"/>
      <c r="AS32" s="23"/>
      <c r="AT32" s="23"/>
      <c r="AU32" s="23">
        <f>IF(B32="",1,MATCH(B32,'Reference data'!$A$10:$A$174,0))</f>
        <v>1</v>
      </c>
    </row>
    <row r="33" spans="1:47" ht="15" customHeight="1" x14ac:dyDescent="0.3">
      <c r="A33" s="26"/>
      <c r="B33" s="298"/>
      <c r="C33" s="299"/>
      <c r="D33" s="299"/>
      <c r="E33" s="300"/>
      <c r="F33" s="206">
        <f>+INDEX('Reference data'!$C$10:$C$174,Calculation!$AU33)</f>
        <v>0</v>
      </c>
      <c r="G33" s="207"/>
      <c r="H33" s="208" t="str">
        <f>IF(AU33=1,"",(IF(INDEX('Reference data'!$B$10:$B$174,$AU33)="FPA","FPA",INDEX('Reference data'!$B$10:$B$174,$AU33)*IF(INDEX('Reference data'!$G$10:$G187,$AU33)="Other",INDEX('Service areas'!$E$8:$E$20,Calculation!$AU$7),INDEX('Service areas'!$D$8:$D$20,Calculation!$AU$7))/100)))</f>
        <v/>
      </c>
      <c r="I33" s="209"/>
      <c r="J33" s="187" t="str">
        <f>IF(AU33=1,"",INDEX('Reference data'!$D$10:$D$174,$AU33))</f>
        <v/>
      </c>
      <c r="K33" s="188"/>
      <c r="L33" s="192"/>
      <c r="M33" s="235" t="str">
        <f>IF(AU33=1,"",INDEX('Reference data'!$F$10:$F$174,$AU33))</f>
        <v/>
      </c>
      <c r="N33" s="209"/>
      <c r="O33" s="210" t="str">
        <f>+IF(AU33=1,"",MIN(IF(H33="FPA",I33,H33),IF(M33="FPA",N33,M33)))</f>
        <v/>
      </c>
      <c r="P33" s="211" t="str">
        <f>+IF(AU33=1,"",O33*G33)</f>
        <v/>
      </c>
      <c r="Q33" s="23"/>
      <c r="R33" s="210" t="str">
        <f>IF(AU33=1,"",IF($D$14="","",IF(H33="FPA",I33,H33)*$K$13))</f>
        <v/>
      </c>
      <c r="S33" s="210" t="str">
        <f>+IF(AU33=1,"",IF($D$14="","",IF(M33="FPA",N33*$K$13,M33*$K$13)))</f>
        <v/>
      </c>
      <c r="T33" s="210" t="str">
        <f t="shared" si="4"/>
        <v/>
      </c>
      <c r="U33" s="211" t="str">
        <f>+IF(AU33=1,"",IF($D$14="","",T33*G33))</f>
        <v/>
      </c>
      <c r="V33" s="23"/>
      <c r="W33" s="223" t="str">
        <f>+IFERROR(INDEX('Reference data'!$Z$10:$AU$174,MATCH(Calculation!B33,'Reference data'!$A$10:$A$174,0),MATCH(Calculation!$D$10,'Reference data'!$Z$9:$AU$9,0)),"")</f>
        <v/>
      </c>
      <c r="X33" s="42">
        <f>+(INDEX('Reference data'!$L$10:$L$172,AU33)+INDEX('Reference data'!$M$10:$M$172,AU33)*G33)/'Reference data'!$V$11</f>
        <v>0</v>
      </c>
      <c r="Y33" s="42">
        <f>+(INDEX('Reference data'!$N$10:$N$172,AU33)+INDEX('Reference data'!$O$10:$O$172,AU33)*G33)/'Reference data'!$V$12</f>
        <v>0</v>
      </c>
      <c r="Z33" s="42">
        <f>+INDEX('Reference data'!$P$10:$P$172,AU33)*G33</f>
        <v>0</v>
      </c>
      <c r="AA33" s="42">
        <f>+INDEX('Reference data'!$Q$10:$Q$172,AU33)*G33</f>
        <v>0</v>
      </c>
      <c r="AB33" s="42">
        <f>+INDEX('Reference data'!$R$10:$R$172,AU33)*G33</f>
        <v>0</v>
      </c>
      <c r="AC33" s="41" t="str">
        <f>+IFERROR(INDEX('Service areas'!F$8:F$20,MATCH(Calculation!$H$7,'Service areas'!$A$8:$A$20,0))*X33,"")</f>
        <v/>
      </c>
      <c r="AD33" s="41" t="str">
        <f>+IFERROR(INDEX('Service areas'!G$8:G$20,MATCH(Calculation!$H$7,'Service areas'!$A$8:$A$20,0))*Y33,"")</f>
        <v/>
      </c>
      <c r="AE33" s="41" t="str">
        <f>+IFERROR(INDEX('Service areas'!H$8:H$20,MATCH(Calculation!$H$7,'Service areas'!$A$8:$A$20,0))*Z33,"")</f>
        <v/>
      </c>
      <c r="AF33" s="41" t="str">
        <f>+IFERROR(INDEX('Service areas'!I$8:I$20,MATCH(Calculation!$H$7,'Service areas'!$A$8:$A$20,0))*AA33,"")</f>
        <v/>
      </c>
      <c r="AG33" s="41" t="str">
        <f>+IFERROR(INDEX('Service areas'!J$8:J$20,MATCH(Calculation!$H$7,'Service areas'!$A$8:$A$20,0))*AB33,"")</f>
        <v/>
      </c>
      <c r="AH33" s="42">
        <f t="shared" si="5"/>
        <v>0</v>
      </c>
      <c r="AI33" s="23"/>
      <c r="AJ33" s="23"/>
      <c r="AK33" s="23"/>
      <c r="AL33" s="23"/>
      <c r="AM33" s="23"/>
      <c r="AN33" s="23"/>
      <c r="AO33" s="23"/>
      <c r="AP33" s="23"/>
      <c r="AQ33" s="23"/>
      <c r="AR33" s="23"/>
      <c r="AS33" s="23"/>
      <c r="AT33" s="23"/>
      <c r="AU33" s="23">
        <f>IF(B33="",1,MATCH(B33,'Reference data'!$A$10:$A$174,0))</f>
        <v>1</v>
      </c>
    </row>
    <row r="34" spans="1:47" ht="15" customHeight="1" x14ac:dyDescent="0.3">
      <c r="A34" s="26"/>
      <c r="B34" s="298"/>
      <c r="C34" s="299"/>
      <c r="D34" s="299"/>
      <c r="E34" s="300"/>
      <c r="F34" s="206">
        <f>+INDEX('Reference data'!$C$10:$C$174,Calculation!$AU34)</f>
        <v>0</v>
      </c>
      <c r="G34" s="207"/>
      <c r="H34" s="208" t="str">
        <f>IF(AU34=1,"",(IF(INDEX('Reference data'!$B$10:$B$174,$AU34)="FPA","FPA",INDEX('Reference data'!$B$10:$B$174,$AU34)*IF(INDEX('Reference data'!$G$10:$G188,$AU34)="Other",INDEX('Service areas'!$E$8:$E$20,Calculation!$AU$7),INDEX('Service areas'!$D$8:$D$20,Calculation!$AU$7))/100)))</f>
        <v/>
      </c>
      <c r="I34" s="209"/>
      <c r="J34" s="187" t="str">
        <f>IF(AU34=1,"",INDEX('Reference data'!$D$10:$D$174,$AU34))</f>
        <v/>
      </c>
      <c r="K34" s="188"/>
      <c r="L34" s="192"/>
      <c r="M34" s="236" t="str">
        <f>IF(AU34=1,"",INDEX('Reference data'!$F$10:$F$174,$AU34))</f>
        <v/>
      </c>
      <c r="N34" s="209"/>
      <c r="O34" s="210" t="str">
        <f>+IF(AU34=1,"",MIN(IF(H34="FPA",I34,H34),IF(M34="FPA",N34,M34)))</f>
        <v/>
      </c>
      <c r="P34" s="211" t="str">
        <f>+IF(AU34=1,"",O34*G34)</f>
        <v/>
      </c>
      <c r="Q34" s="23"/>
      <c r="R34" s="210" t="str">
        <f>IF(AU34=1,"",IF($D$14="","",IF(H34="FPA",I34,H34)*$K$13))</f>
        <v/>
      </c>
      <c r="S34" s="210" t="str">
        <f>+IF(AU34=1,"",IF($D$14="","",IF(M34="FPA",N34*$K$13,M34*$K$13)))</f>
        <v/>
      </c>
      <c r="T34" s="210" t="str">
        <f t="shared" si="4"/>
        <v/>
      </c>
      <c r="U34" s="211" t="str">
        <f>+IF(AU34=1,"",IF($D$14="","",T34*G34))</f>
        <v/>
      </c>
      <c r="V34" s="23"/>
      <c r="W34" s="223" t="str">
        <f>+IFERROR(INDEX('Reference data'!$Z$10:$AU$174,MATCH(Calculation!B34,'Reference data'!$A$10:$A$174,0),MATCH(Calculation!$D$10,'Reference data'!$Z$9:$AU$9,0)),"")</f>
        <v/>
      </c>
      <c r="X34" s="42">
        <f>+(INDEX('Reference data'!$L$10:$L$172,AU34)+INDEX('Reference data'!$M$10:$M$172,AU34)*G34)/'Reference data'!$V$11</f>
        <v>0</v>
      </c>
      <c r="Y34" s="42">
        <f>+(INDEX('Reference data'!$N$10:$N$172,AU34)+INDEX('Reference data'!$O$10:$O$172,AU34)*G34)/'Reference data'!$V$12</f>
        <v>0</v>
      </c>
      <c r="Z34" s="42">
        <f>+INDEX('Reference data'!$P$10:$P$172,AU34)*G34</f>
        <v>0</v>
      </c>
      <c r="AA34" s="42">
        <f>+INDEX('Reference data'!$Q$10:$Q$172,AU34)*G34</f>
        <v>0</v>
      </c>
      <c r="AB34" s="42">
        <f>+INDEX('Reference data'!$R$10:$R$172,AU34)*G34</f>
        <v>0</v>
      </c>
      <c r="AC34" s="41" t="str">
        <f>+IFERROR(INDEX('Service areas'!F$8:F$20,MATCH(Calculation!$H$7,'Service areas'!$A$8:$A$20,0))*X34,"")</f>
        <v/>
      </c>
      <c r="AD34" s="41" t="str">
        <f>+IFERROR(INDEX('Service areas'!G$8:G$20,MATCH(Calculation!$H$7,'Service areas'!$A$8:$A$20,0))*Y34,"")</f>
        <v/>
      </c>
      <c r="AE34" s="41" t="str">
        <f>+IFERROR(INDEX('Service areas'!H$8:H$20,MATCH(Calculation!$H$7,'Service areas'!$A$8:$A$20,0))*Z34,"")</f>
        <v/>
      </c>
      <c r="AF34" s="41" t="str">
        <f>+IFERROR(INDEX('Service areas'!I$8:I$20,MATCH(Calculation!$H$7,'Service areas'!$A$8:$A$20,0))*AA34,"")</f>
        <v/>
      </c>
      <c r="AG34" s="41" t="str">
        <f>+IFERROR(INDEX('Service areas'!J$8:J$20,MATCH(Calculation!$H$7,'Service areas'!$A$8:$A$20,0))*AB34,"")</f>
        <v/>
      </c>
      <c r="AH34" s="42">
        <f t="shared" si="5"/>
        <v>0</v>
      </c>
      <c r="AI34" s="23"/>
      <c r="AJ34" s="23"/>
      <c r="AK34" s="23"/>
      <c r="AL34" s="23"/>
      <c r="AM34" s="23"/>
      <c r="AN34" s="23"/>
      <c r="AO34" s="23"/>
      <c r="AP34" s="23"/>
      <c r="AQ34" s="23"/>
      <c r="AR34" s="23"/>
      <c r="AS34" s="23"/>
      <c r="AT34" s="23"/>
      <c r="AU34" s="23">
        <f>IF(B34="",1,MATCH(B34,'Reference data'!$A$10:$A$174,0))</f>
        <v>1</v>
      </c>
    </row>
    <row r="35" spans="1:47" ht="16.5" x14ac:dyDescent="0.3">
      <c r="A35" s="26"/>
      <c r="B35" s="301"/>
      <c r="C35" s="302"/>
      <c r="D35" s="302"/>
      <c r="E35" s="303"/>
      <c r="F35" s="212">
        <f>+INDEX('Reference data'!$C$10:$C$174,Calculation!$AU35)</f>
        <v>0</v>
      </c>
      <c r="G35" s="213"/>
      <c r="H35" s="214" t="str">
        <f>IF(AU35=1,"",(IF(INDEX('Reference data'!$B$10:$B$174,$AU35)="FPA","FPA",INDEX('Reference data'!$B$10:$B$174,$AU35)*IF(INDEX('Reference data'!$G$10:$G189,$AU35)="Other",INDEX('Service areas'!$E$8:$E$20,Calculation!$AU$7),INDEX('Service areas'!$D$8:$D$20,Calculation!$AU$7))/100)))</f>
        <v/>
      </c>
      <c r="I35" s="215"/>
      <c r="J35" s="185" t="str">
        <f>IF(AU35=1,"",INDEX('Reference data'!$D$10:$D$174,$AU35))</f>
        <v/>
      </c>
      <c r="K35" s="186"/>
      <c r="L35" s="196"/>
      <c r="M35" s="214" t="str">
        <f>IF(AU35=1,"",INDEX('Reference data'!$F$10:$F$174,$AU35))</f>
        <v/>
      </c>
      <c r="N35" s="215"/>
      <c r="O35" s="216" t="str">
        <f>+IF(AU35=1,"",MIN(IF(H35="FPA",I35,H35),IF(M35="FPA",N35,M35)))</f>
        <v/>
      </c>
      <c r="P35" s="217" t="str">
        <f>+IF(AU35=1,"",O35*G35)</f>
        <v/>
      </c>
      <c r="Q35" s="23"/>
      <c r="R35" s="216" t="str">
        <f>IF(AU35=1,"",IF($D$14="","",IF(H35="FPA",I35,H35)*$K$13))</f>
        <v/>
      </c>
      <c r="S35" s="216" t="str">
        <f>+IF(AU35=1,"",IF($D$14="","",IF(M35="FPA",N35*$K$13,M35*$K$13)))</f>
        <v/>
      </c>
      <c r="T35" s="216" t="str">
        <f t="shared" si="4"/>
        <v/>
      </c>
      <c r="U35" s="217" t="str">
        <f>+IF(AU35=1,"",IF($D$14="","",T35*G35))</f>
        <v/>
      </c>
      <c r="V35" s="23"/>
      <c r="W35" s="225" t="str">
        <f>+IFERROR(INDEX('Reference data'!$Z$10:$AU$174,MATCH(Calculation!B35,'Reference data'!$A$10:$A$174,0),MATCH(Calculation!$D$10,'Reference data'!$Z$9:$AU$9,0)),"")</f>
        <v/>
      </c>
      <c r="X35" s="43">
        <f>+(INDEX('Reference data'!$L$10:$L$172,AU35)+INDEX('Reference data'!$M$10:$M$172,AU35)*G35)/'Reference data'!$V$11</f>
        <v>0</v>
      </c>
      <c r="Y35" s="43">
        <f>+(INDEX('Reference data'!$N$10:$N$172,AU35)+INDEX('Reference data'!$O$10:$O$172,AU35)*G35)/'Reference data'!$V$12</f>
        <v>0</v>
      </c>
      <c r="Z35" s="43">
        <f>+INDEX('Reference data'!$P$10:$P$172,AU35)*G35</f>
        <v>0</v>
      </c>
      <c r="AA35" s="43">
        <f>+INDEX('Reference data'!$Q$10:$Q$172,AU35)*G35</f>
        <v>0</v>
      </c>
      <c r="AB35" s="43">
        <f>+INDEX('Reference data'!$R$10:$R$172,AU35)*G35</f>
        <v>0</v>
      </c>
      <c r="AC35" s="41" t="str">
        <f>+IFERROR(INDEX('Service areas'!F$8:F$20,MATCH(Calculation!$H$7,'Service areas'!$A$8:$A$20,0))*X35,"")</f>
        <v/>
      </c>
      <c r="AD35" s="41" t="str">
        <f>+IFERROR(INDEX('Service areas'!G$8:G$20,MATCH(Calculation!$H$7,'Service areas'!$A$8:$A$20,0))*Y35,"")</f>
        <v/>
      </c>
      <c r="AE35" s="41" t="str">
        <f>+IFERROR(INDEX('Service areas'!H$8:H$20,MATCH(Calculation!$H$7,'Service areas'!$A$8:$A$20,0))*Z35,"")</f>
        <v/>
      </c>
      <c r="AF35" s="41" t="str">
        <f>+IFERROR(INDEX('Service areas'!I$8:I$20,MATCH(Calculation!$H$7,'Service areas'!$A$8:$A$20,0))*AA35,"")</f>
        <v/>
      </c>
      <c r="AG35" s="41" t="str">
        <f>+IFERROR(INDEX('Service areas'!J$8:J$20,MATCH(Calculation!$H$7,'Service areas'!$A$8:$A$20,0))*AB35,"")</f>
        <v/>
      </c>
      <c r="AH35" s="43">
        <f t="shared" si="5"/>
        <v>0</v>
      </c>
      <c r="AI35" s="23"/>
      <c r="AJ35" s="23"/>
      <c r="AK35" s="23"/>
      <c r="AL35" s="23"/>
      <c r="AM35" s="23"/>
      <c r="AN35" s="23"/>
      <c r="AO35" s="23"/>
      <c r="AP35" s="23"/>
      <c r="AQ35" s="23"/>
      <c r="AR35" s="23"/>
      <c r="AS35" s="23"/>
      <c r="AT35" s="23"/>
      <c r="AU35" s="23">
        <f>IF(B35="",1,MATCH(B35,'Reference data'!$A$10:$A$174,0))</f>
        <v>1</v>
      </c>
    </row>
    <row r="36" spans="1:47" ht="16.5" x14ac:dyDescent="0.3">
      <c r="A36" s="26"/>
      <c r="B36" s="23" t="s">
        <v>64</v>
      </c>
      <c r="C36" s="269"/>
      <c r="D36" s="269"/>
      <c r="E36" s="269"/>
      <c r="F36" s="269"/>
      <c r="G36" s="269"/>
      <c r="H36" s="269"/>
      <c r="I36" s="269"/>
      <c r="J36" s="269"/>
      <c r="K36" s="269"/>
      <c r="L36" s="269"/>
      <c r="M36" s="269"/>
      <c r="N36" s="269"/>
      <c r="O36" s="269"/>
      <c r="P36" s="44">
        <f>SUM(P31:P35)</f>
        <v>0</v>
      </c>
      <c r="Q36" s="23"/>
      <c r="R36" s="23"/>
      <c r="S36" s="23"/>
      <c r="T36" s="23"/>
      <c r="U36" s="44">
        <f>SUM(U31:U35)</f>
        <v>0</v>
      </c>
      <c r="V36" s="23"/>
      <c r="W36" s="23"/>
      <c r="X36" s="68" t="s">
        <v>350</v>
      </c>
      <c r="Y36" s="69"/>
      <c r="Z36" s="69"/>
      <c r="AA36" s="69"/>
      <c r="AB36" s="70"/>
      <c r="AC36" s="39">
        <f>SUM(AC31:AC35)</f>
        <v>0</v>
      </c>
      <c r="AD36" s="39">
        <f t="shared" ref="AD36" si="6">SUM(AD31:AD35)</f>
        <v>0</v>
      </c>
      <c r="AE36" s="39">
        <f t="shared" ref="AE36" si="7">SUM(AE31:AE35)</f>
        <v>0</v>
      </c>
      <c r="AF36" s="39">
        <f t="shared" ref="AF36" si="8">SUM(AF31:AF35)</f>
        <v>0</v>
      </c>
      <c r="AG36" s="39">
        <f t="shared" ref="AG36" si="9">SUM(AG31:AG35)</f>
        <v>0</v>
      </c>
      <c r="AH36" s="39">
        <f t="shared" ref="AH36" si="10">SUM(AH31:AH35)</f>
        <v>0</v>
      </c>
      <c r="AI36" s="23"/>
      <c r="AJ36" s="23"/>
      <c r="AK36" s="23"/>
      <c r="AL36" s="23"/>
      <c r="AM36" s="23"/>
      <c r="AN36" s="23"/>
      <c r="AO36" s="23"/>
      <c r="AP36" s="23"/>
      <c r="AQ36" s="23"/>
      <c r="AR36" s="23"/>
      <c r="AS36" s="23"/>
      <c r="AT36" s="23"/>
      <c r="AU36" s="23">
        <v>0</v>
      </c>
    </row>
    <row r="37" spans="1:47" ht="16.5" x14ac:dyDescent="0.3">
      <c r="A37" s="26"/>
      <c r="B37" s="23"/>
      <c r="C37" s="23"/>
      <c r="D37" s="23"/>
      <c r="E37" s="23"/>
      <c r="F37" s="23"/>
      <c r="G37" s="23"/>
      <c r="H37" s="23"/>
      <c r="I37" s="23"/>
      <c r="J37" s="23"/>
      <c r="K37" s="23"/>
      <c r="L37" s="23"/>
      <c r="M37" s="23"/>
      <c r="N37" s="23"/>
      <c r="O37" s="23"/>
      <c r="P37" s="23"/>
      <c r="Q37" s="23"/>
      <c r="R37" s="23"/>
      <c r="S37" s="23"/>
      <c r="T37" s="23"/>
      <c r="U37" s="23"/>
      <c r="V37" s="23"/>
      <c r="W37" s="23"/>
      <c r="X37" s="68" t="s">
        <v>351</v>
      </c>
      <c r="Y37" s="69"/>
      <c r="Z37" s="69"/>
      <c r="AA37" s="69"/>
      <c r="AB37" s="70"/>
      <c r="AC37" s="66">
        <f t="shared" ref="AC37:AH37" si="11">+IF($AH$36=0,0,AC36/$AH$36)</f>
        <v>0</v>
      </c>
      <c r="AD37" s="66">
        <f t="shared" si="11"/>
        <v>0</v>
      </c>
      <c r="AE37" s="66">
        <f t="shared" si="11"/>
        <v>0</v>
      </c>
      <c r="AF37" s="66">
        <f t="shared" si="11"/>
        <v>0</v>
      </c>
      <c r="AG37" s="66">
        <f t="shared" si="11"/>
        <v>0</v>
      </c>
      <c r="AH37" s="66">
        <f t="shared" si="11"/>
        <v>0</v>
      </c>
      <c r="AI37" s="23"/>
      <c r="AJ37" s="23"/>
      <c r="AK37" s="23"/>
      <c r="AL37" s="23"/>
      <c r="AM37" s="23"/>
      <c r="AN37" s="23"/>
      <c r="AO37" s="23"/>
      <c r="AP37" s="23"/>
      <c r="AQ37" s="23"/>
      <c r="AR37" s="23"/>
      <c r="AS37" s="23"/>
      <c r="AT37" s="23"/>
      <c r="AU37" s="23"/>
    </row>
    <row r="38" spans="1:47" ht="16.5" x14ac:dyDescent="0.3">
      <c r="A38" s="26">
        <v>6</v>
      </c>
      <c r="B38" s="27" t="s">
        <v>368</v>
      </c>
      <c r="C38" s="23"/>
      <c r="D38" s="23"/>
      <c r="E38" s="23"/>
      <c r="F38" s="23"/>
      <c r="G38" s="23"/>
      <c r="H38" s="23"/>
      <c r="I38" s="23"/>
      <c r="J38" s="23"/>
      <c r="K38" s="23"/>
      <c r="L38" s="23"/>
      <c r="M38" s="23"/>
      <c r="N38" s="23"/>
      <c r="O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ht="32.25" customHeight="1" x14ac:dyDescent="0.3">
      <c r="A39" s="26"/>
      <c r="B39" s="120" t="s">
        <v>369</v>
      </c>
      <c r="C39" s="38"/>
      <c r="D39" s="38"/>
      <c r="E39" s="38"/>
      <c r="F39" s="38"/>
      <c r="G39" s="38"/>
      <c r="H39" s="38"/>
      <c r="I39" s="38"/>
      <c r="J39" s="38"/>
      <c r="K39" s="38"/>
      <c r="L39" s="38"/>
      <c r="M39" s="38"/>
      <c r="N39" s="273" t="str">
        <f>+H28</f>
        <v>At time of raising charge notice (Dec'21)</v>
      </c>
      <c r="O39" s="274"/>
      <c r="P39" s="176">
        <f>+MAX(0,P25-P36)</f>
        <v>0</v>
      </c>
      <c r="Q39" s="23"/>
      <c r="R39" s="273" t="str">
        <f>+R28</f>
        <v>At payment  (Dec'23)</v>
      </c>
      <c r="S39" s="275"/>
      <c r="T39" s="274"/>
      <c r="U39" s="177">
        <f>+MAX(0,U25-U36)</f>
        <v>0</v>
      </c>
      <c r="V39" s="23"/>
      <c r="W39" s="23" t="s">
        <v>459</v>
      </c>
      <c r="AC39" s="23"/>
      <c r="AD39" s="23"/>
      <c r="AE39" s="23"/>
      <c r="AF39" s="23"/>
      <c r="AG39" s="23"/>
      <c r="AH39" s="23"/>
      <c r="AI39" s="23"/>
      <c r="AJ39" s="23"/>
      <c r="AK39" s="23"/>
      <c r="AL39" s="23"/>
      <c r="AM39" s="23"/>
      <c r="AN39" s="23"/>
      <c r="AO39" s="23"/>
      <c r="AP39" s="23"/>
      <c r="AQ39" s="23"/>
      <c r="AR39" s="23"/>
      <c r="AS39" s="23"/>
      <c r="AT39" s="23"/>
      <c r="AU39" s="23"/>
    </row>
    <row r="40" spans="1:47" ht="33" x14ac:dyDescent="0.3">
      <c r="A40" s="26"/>
      <c r="B40" s="23"/>
      <c r="C40" s="23"/>
      <c r="D40" s="23"/>
      <c r="E40" s="23"/>
      <c r="F40" s="23"/>
      <c r="G40" s="23"/>
      <c r="H40" s="23"/>
      <c r="I40" s="23"/>
      <c r="J40" s="23"/>
      <c r="K40" s="23"/>
      <c r="L40" s="23"/>
      <c r="M40" s="23"/>
      <c r="N40" s="23"/>
      <c r="O40" s="23"/>
      <c r="P40" s="23"/>
      <c r="Q40" s="23"/>
      <c r="R40" s="23"/>
      <c r="S40" s="23"/>
      <c r="T40" s="23"/>
      <c r="U40" s="23"/>
      <c r="V40" s="23"/>
      <c r="W40" s="242" t="s">
        <v>6</v>
      </c>
      <c r="X40" s="242" t="s">
        <v>460</v>
      </c>
      <c r="Y40" s="242" t="s">
        <v>461</v>
      </c>
      <c r="Z40" s="242" t="s">
        <v>462</v>
      </c>
      <c r="AA40" s="242" t="str">
        <f>"Net charge ($)"</f>
        <v>Net charge ($)</v>
      </c>
      <c r="AB40" s="242" t="s">
        <v>463</v>
      </c>
      <c r="AC40" s="242" t="s">
        <v>464</v>
      </c>
      <c r="AD40" s="23"/>
      <c r="AE40" s="242" t="s">
        <v>465</v>
      </c>
      <c r="AF40" s="23"/>
      <c r="AG40" s="23"/>
      <c r="AH40" s="23"/>
      <c r="AI40" s="23"/>
      <c r="AJ40" s="23"/>
      <c r="AK40" s="23"/>
      <c r="AL40" s="23"/>
      <c r="AM40" s="23"/>
      <c r="AN40" s="23"/>
      <c r="AO40" s="23"/>
      <c r="AP40" s="23"/>
      <c r="AQ40" s="23"/>
      <c r="AR40" s="23"/>
      <c r="AS40" s="23"/>
      <c r="AT40" s="23"/>
      <c r="AU40" s="23"/>
    </row>
    <row r="41" spans="1:47" ht="16.5" x14ac:dyDescent="0.3">
      <c r="A41" s="26" t="s">
        <v>90</v>
      </c>
      <c r="B41" s="27" t="str">
        <f>"Offsettable infrastructure relevant to the permit"</f>
        <v>Offsettable infrastructure relevant to the permit</v>
      </c>
      <c r="C41" s="23"/>
      <c r="D41" s="23"/>
      <c r="E41" s="23"/>
      <c r="F41" s="23"/>
      <c r="G41" s="23"/>
      <c r="H41" s="23"/>
      <c r="I41" s="23"/>
      <c r="J41" s="23"/>
      <c r="K41" s="23"/>
      <c r="L41" s="23"/>
      <c r="M41" s="23"/>
      <c r="N41" s="23"/>
      <c r="O41" s="23"/>
      <c r="P41" s="23"/>
      <c r="Q41" s="23"/>
      <c r="R41" s="23"/>
      <c r="S41" s="23"/>
      <c r="T41" s="23"/>
      <c r="U41" s="23"/>
      <c r="V41" s="23"/>
      <c r="W41" s="46" t="s">
        <v>20</v>
      </c>
      <c r="X41" s="49">
        <f>+$P$25*AC$26</f>
        <v>0</v>
      </c>
      <c r="Y41" s="49">
        <f>+$P$36*AC$37</f>
        <v>0</v>
      </c>
      <c r="Z41" s="49">
        <f>+IF($Y$46=0,0,MIN($X$46:$Y$46)*Y41/$Y$46)</f>
        <v>0</v>
      </c>
      <c r="AA41" s="49">
        <f>+X41-Z41</f>
        <v>0</v>
      </c>
      <c r="AB41" s="49">
        <f>IF(OR(AA41&lt;0,AA41=0),0,SUMIF($AA$41:$AA$45,"&lt;0",$AA$41:$AA$45)*AA41/($AA$42-SUMIF($AA$41:$AA$45,"&lt;0",$AA$41:$AA$45))+AA41)</f>
        <v>0</v>
      </c>
      <c r="AC41" s="243" t="e">
        <f>+AB41/$AB$46*100</f>
        <v>#DIV/0!</v>
      </c>
      <c r="AD41" s="23"/>
      <c r="AE41" s="49">
        <f>+X41-AB41</f>
        <v>0</v>
      </c>
      <c r="AF41" s="23"/>
      <c r="AG41" s="23"/>
      <c r="AH41" s="23"/>
      <c r="AI41" s="23"/>
      <c r="AJ41" s="23"/>
      <c r="AK41" s="23"/>
      <c r="AL41" s="23"/>
      <c r="AM41" s="23"/>
      <c r="AN41" s="23"/>
      <c r="AO41" s="23"/>
      <c r="AP41" s="23"/>
      <c r="AQ41" s="23"/>
      <c r="AR41" s="23"/>
      <c r="AS41" s="23"/>
      <c r="AT41" s="23"/>
      <c r="AU41" s="23"/>
    </row>
    <row r="42" spans="1:47" ht="24.75" customHeight="1" x14ac:dyDescent="0.3">
      <c r="A42" s="26"/>
      <c r="B42" s="304" t="s">
        <v>6</v>
      </c>
      <c r="C42" s="276" t="s">
        <v>269</v>
      </c>
      <c r="D42" s="277"/>
      <c r="E42" s="277"/>
      <c r="F42" s="277"/>
      <c r="G42" s="277"/>
      <c r="H42" s="277"/>
      <c r="I42" s="277"/>
      <c r="J42" s="277"/>
      <c r="K42" s="277"/>
      <c r="L42" s="277"/>
      <c r="M42" s="277"/>
      <c r="N42" s="277"/>
      <c r="O42" s="277"/>
      <c r="P42" s="277"/>
      <c r="Q42" s="278"/>
      <c r="R42" s="273" t="str">
        <f>+R28</f>
        <v>At payment  (Dec'23)</v>
      </c>
      <c r="S42" s="275"/>
      <c r="T42" s="275"/>
      <c r="U42" s="274"/>
      <c r="V42" s="23"/>
      <c r="W42" s="47" t="s">
        <v>21</v>
      </c>
      <c r="X42" s="49">
        <f>+$P$25*AD$26</f>
        <v>0</v>
      </c>
      <c r="Y42" s="49">
        <f>+$P$36*AD$37</f>
        <v>0</v>
      </c>
      <c r="Z42" s="49">
        <f>+IF($Y$46=0,0,MIN($X$46:$Y$46)*Y42/$Y$46)</f>
        <v>0</v>
      </c>
      <c r="AA42" s="49">
        <f t="shared" ref="AA42:AA45" si="12">+X42-Z42</f>
        <v>0</v>
      </c>
      <c r="AB42" s="49">
        <f>IF(OR(AA42&lt;0,AA42=0),0,SUMIF($AA$41:$AA$45,"&lt;0",$AA$41:$AA$45)*AA42/($AA$42-SUMIF($AA$41:$AA$45,"&lt;0",$AA$41:$AA$45))+AA42)</f>
        <v>0</v>
      </c>
      <c r="AC42" s="243" t="e">
        <f t="shared" ref="AC42:AC46" si="13">+AB42/$AB$46*100</f>
        <v>#DIV/0!</v>
      </c>
      <c r="AD42" s="23"/>
      <c r="AE42" s="49">
        <f t="shared" ref="AE42:AE45" si="14">+X42-AB42</f>
        <v>0</v>
      </c>
      <c r="AF42" s="23"/>
      <c r="AG42" s="23"/>
      <c r="AH42" s="23"/>
      <c r="AI42" s="23"/>
      <c r="AJ42" s="23"/>
      <c r="AK42" s="23"/>
      <c r="AL42" s="23"/>
      <c r="AM42" s="23"/>
      <c r="AN42" s="23"/>
      <c r="AO42" s="23"/>
      <c r="AP42" s="23"/>
      <c r="AQ42" s="23"/>
      <c r="AR42" s="23"/>
      <c r="AS42" s="23"/>
      <c r="AT42" s="23"/>
      <c r="AU42" s="23"/>
    </row>
    <row r="43" spans="1:47" ht="24" customHeight="1" x14ac:dyDescent="0.3">
      <c r="A43" s="26"/>
      <c r="B43" s="305"/>
      <c r="C43" s="288" t="s">
        <v>364</v>
      </c>
      <c r="D43" s="289"/>
      <c r="E43" s="289"/>
      <c r="F43" s="289"/>
      <c r="G43" s="289"/>
      <c r="H43" s="289"/>
      <c r="I43" s="289"/>
      <c r="J43" s="289"/>
      <c r="K43" s="289"/>
      <c r="L43" s="289"/>
      <c r="M43" s="289"/>
      <c r="N43" s="289"/>
      <c r="O43" s="289"/>
      <c r="P43" s="289"/>
      <c r="Q43" s="290"/>
      <c r="R43" s="276" t="s">
        <v>367</v>
      </c>
      <c r="S43" s="277"/>
      <c r="T43" s="278"/>
      <c r="U43" s="45" t="str">
        <f>"Agreed value"</f>
        <v>Agreed value</v>
      </c>
      <c r="V43" s="23"/>
      <c r="W43" s="47" t="s">
        <v>22</v>
      </c>
      <c r="X43" s="49">
        <f>+$P$25*AE$26</f>
        <v>0</v>
      </c>
      <c r="Y43" s="49">
        <f>+$P$36*AE$37</f>
        <v>0</v>
      </c>
      <c r="Z43" s="49">
        <f>+IF($Y$46=0,0,MIN($X$46:$Y$46)*Y43/$Y$46)</f>
        <v>0</v>
      </c>
      <c r="AA43" s="49">
        <f t="shared" si="12"/>
        <v>0</v>
      </c>
      <c r="AB43" s="49">
        <f>IF(OR(AA43&lt;0,AA43=0),0,SUMIF($AA$41:$AA$45,"&lt;0",$AA$41:$AA$45)*AA43/($AA$42-SUMIF($AA$41:$AA$45,"&lt;0",$AA$41:$AA$45))+AA43)</f>
        <v>0</v>
      </c>
      <c r="AC43" s="243" t="e">
        <f t="shared" si="13"/>
        <v>#DIV/0!</v>
      </c>
      <c r="AD43" s="23"/>
      <c r="AE43" s="49">
        <f t="shared" si="14"/>
        <v>0</v>
      </c>
      <c r="AF43" s="23"/>
      <c r="AG43" s="23"/>
      <c r="AH43" s="23"/>
      <c r="AI43" s="23"/>
      <c r="AJ43" s="23"/>
      <c r="AK43" s="23"/>
      <c r="AL43" s="23"/>
      <c r="AM43" s="23"/>
      <c r="AN43" s="23"/>
      <c r="AO43" s="23"/>
      <c r="AP43" s="23"/>
      <c r="AQ43" s="23"/>
      <c r="AR43" s="23"/>
      <c r="AS43" s="23"/>
      <c r="AT43" s="23"/>
      <c r="AU43" s="23"/>
    </row>
    <row r="44" spans="1:47" ht="16.5" x14ac:dyDescent="0.3">
      <c r="A44" s="26"/>
      <c r="B44" s="46" t="s">
        <v>20</v>
      </c>
      <c r="C44" s="279"/>
      <c r="D44" s="280"/>
      <c r="E44" s="280"/>
      <c r="F44" s="280"/>
      <c r="G44" s="280"/>
      <c r="H44" s="280"/>
      <c r="I44" s="280"/>
      <c r="J44" s="280"/>
      <c r="K44" s="280"/>
      <c r="L44" s="280"/>
      <c r="M44" s="280"/>
      <c r="N44" s="280"/>
      <c r="O44" s="280"/>
      <c r="P44" s="280"/>
      <c r="Q44" s="281"/>
      <c r="R44" s="104"/>
      <c r="S44" s="178"/>
      <c r="T44" s="105"/>
      <c r="U44" s="54"/>
      <c r="V44" s="23"/>
      <c r="W44" s="47" t="s">
        <v>23</v>
      </c>
      <c r="X44" s="49">
        <f>+$P$25*AF$26</f>
        <v>0</v>
      </c>
      <c r="Y44" s="49">
        <f>+$P$36*AF$37</f>
        <v>0</v>
      </c>
      <c r="Z44" s="49">
        <f>+IF($Y$46=0,0,MIN($X$46:$Y$46)*Y44/$Y$46)</f>
        <v>0</v>
      </c>
      <c r="AA44" s="49">
        <f t="shared" si="12"/>
        <v>0</v>
      </c>
      <c r="AB44" s="49">
        <f>IF(OR(AA44&lt;0,AA44=0),0,SUMIF($AA$41:$AA$45,"&lt;0",$AA$41:$AA$45)*AA44/($AA$42-SUMIF($AA$41:$AA$45,"&lt;0",$AA$41:$AA$45))+AA44)</f>
        <v>0</v>
      </c>
      <c r="AC44" s="243" t="e">
        <f t="shared" si="13"/>
        <v>#DIV/0!</v>
      </c>
      <c r="AD44" s="23"/>
      <c r="AE44" s="49">
        <f t="shared" si="14"/>
        <v>0</v>
      </c>
      <c r="AF44" s="23"/>
      <c r="AG44" s="23"/>
      <c r="AH44" s="23"/>
      <c r="AI44" s="23"/>
      <c r="AJ44" s="23"/>
      <c r="AK44" s="23"/>
      <c r="AL44" s="23"/>
      <c r="AM44" s="23"/>
      <c r="AN44" s="23"/>
      <c r="AO44" s="23"/>
      <c r="AP44" s="23"/>
      <c r="AQ44" s="23"/>
      <c r="AR44" s="23"/>
      <c r="AS44" s="23"/>
      <c r="AT44" s="23"/>
      <c r="AU44" s="23"/>
    </row>
    <row r="45" spans="1:47" ht="16.5" x14ac:dyDescent="0.3">
      <c r="A45" s="26"/>
      <c r="B45" s="47" t="s">
        <v>21</v>
      </c>
      <c r="C45" s="279"/>
      <c r="D45" s="280"/>
      <c r="E45" s="280"/>
      <c r="F45" s="280"/>
      <c r="G45" s="280"/>
      <c r="H45" s="280"/>
      <c r="I45" s="280"/>
      <c r="J45" s="280"/>
      <c r="K45" s="280"/>
      <c r="L45" s="280"/>
      <c r="M45" s="280"/>
      <c r="N45" s="280"/>
      <c r="O45" s="280"/>
      <c r="P45" s="280"/>
      <c r="Q45" s="281"/>
      <c r="R45" s="106"/>
      <c r="S45" s="179"/>
      <c r="T45" s="107"/>
      <c r="U45" s="48"/>
      <c r="V45" s="23"/>
      <c r="W45" s="50" t="s">
        <v>24</v>
      </c>
      <c r="X45" s="49">
        <f>+$P$25*AG$26</f>
        <v>0</v>
      </c>
      <c r="Y45" s="49">
        <f>+$P$36*AG$37</f>
        <v>0</v>
      </c>
      <c r="Z45" s="49">
        <f>+IF($Y$46=0,0,MIN($X$46:$Y$46)*Y45/$Y$46)</f>
        <v>0</v>
      </c>
      <c r="AA45" s="49">
        <f t="shared" si="12"/>
        <v>0</v>
      </c>
      <c r="AB45" s="49">
        <f>IF(OR(AA45&lt;0,AA45=0),0,SUMIF($AA$41:$AA$45,"&lt;0",$AA$41:$AA$45)*AA45/($AA$42-SUMIF($AA$41:$AA$45,"&lt;0",$AA$41:$AA$45))+AA45)</f>
        <v>0</v>
      </c>
      <c r="AC45" s="243" t="e">
        <f t="shared" si="13"/>
        <v>#DIV/0!</v>
      </c>
      <c r="AD45" s="23"/>
      <c r="AE45" s="49">
        <f t="shared" si="14"/>
        <v>0</v>
      </c>
      <c r="AF45" s="23"/>
      <c r="AG45" s="23"/>
      <c r="AH45" s="23"/>
      <c r="AI45" s="23"/>
      <c r="AJ45" s="23"/>
      <c r="AK45" s="23"/>
      <c r="AL45" s="23"/>
      <c r="AM45" s="23"/>
      <c r="AN45" s="23"/>
      <c r="AO45" s="23"/>
      <c r="AP45" s="23"/>
      <c r="AQ45" s="23"/>
      <c r="AR45" s="23"/>
      <c r="AS45" s="23"/>
      <c r="AT45" s="23"/>
      <c r="AU45" s="23"/>
    </row>
    <row r="46" spans="1:47" ht="16.5" x14ac:dyDescent="0.3">
      <c r="A46" s="26"/>
      <c r="B46" s="47" t="s">
        <v>22</v>
      </c>
      <c r="C46" s="279"/>
      <c r="D46" s="280"/>
      <c r="E46" s="280"/>
      <c r="F46" s="280"/>
      <c r="G46" s="280"/>
      <c r="H46" s="280"/>
      <c r="I46" s="280"/>
      <c r="J46" s="280"/>
      <c r="K46" s="280"/>
      <c r="L46" s="280"/>
      <c r="M46" s="280"/>
      <c r="N46" s="280"/>
      <c r="O46" s="280"/>
      <c r="P46" s="280"/>
      <c r="Q46" s="281"/>
      <c r="R46" s="106"/>
      <c r="S46" s="179"/>
      <c r="T46" s="107"/>
      <c r="U46" s="48"/>
      <c r="V46" s="23"/>
      <c r="W46" s="52" t="s">
        <v>25</v>
      </c>
      <c r="X46" s="53">
        <f t="shared" ref="X46:Z46" si="15">SUM(X41:X45)</f>
        <v>0</v>
      </c>
      <c r="Y46" s="53">
        <f t="shared" si="15"/>
        <v>0</v>
      </c>
      <c r="Z46" s="53">
        <f t="shared" si="15"/>
        <v>0</v>
      </c>
      <c r="AA46" s="53">
        <f>SUM(AA41:AA45)</f>
        <v>0</v>
      </c>
      <c r="AB46" s="53">
        <f>SUM(AB41:AB45)</f>
        <v>0</v>
      </c>
      <c r="AC46" s="244" t="e">
        <f t="shared" si="13"/>
        <v>#DIV/0!</v>
      </c>
      <c r="AD46" s="23"/>
      <c r="AE46" s="53">
        <f>SUM(AE41:AE45)</f>
        <v>0</v>
      </c>
      <c r="AF46" s="23"/>
      <c r="AG46" s="23"/>
      <c r="AH46" s="23"/>
      <c r="AI46" s="23"/>
      <c r="AJ46" s="23"/>
      <c r="AK46" s="23"/>
      <c r="AL46" s="23"/>
      <c r="AM46" s="23"/>
      <c r="AN46" s="23"/>
      <c r="AO46" s="23"/>
      <c r="AP46" s="23"/>
      <c r="AQ46" s="23"/>
      <c r="AR46" s="23"/>
      <c r="AS46" s="23"/>
      <c r="AT46" s="23"/>
      <c r="AU46" s="23"/>
    </row>
    <row r="47" spans="1:47" ht="16.5" x14ac:dyDescent="0.3">
      <c r="A47" s="26"/>
      <c r="B47" s="47" t="s">
        <v>23</v>
      </c>
      <c r="C47" s="279"/>
      <c r="D47" s="280"/>
      <c r="E47" s="280"/>
      <c r="F47" s="280"/>
      <c r="G47" s="280"/>
      <c r="H47" s="280"/>
      <c r="I47" s="280"/>
      <c r="J47" s="280"/>
      <c r="K47" s="280"/>
      <c r="L47" s="280"/>
      <c r="M47" s="280"/>
      <c r="N47" s="280"/>
      <c r="O47" s="280"/>
      <c r="P47" s="280"/>
      <c r="Q47" s="281"/>
      <c r="R47" s="106"/>
      <c r="S47" s="179"/>
      <c r="T47" s="107"/>
      <c r="U47" s="48"/>
      <c r="V47" s="23"/>
      <c r="AD47" s="23"/>
      <c r="AE47" s="23"/>
      <c r="AF47" s="23"/>
      <c r="AG47" s="23"/>
      <c r="AH47" s="23"/>
      <c r="AI47" s="23"/>
      <c r="AJ47" s="23"/>
      <c r="AK47" s="23"/>
      <c r="AL47" s="23"/>
      <c r="AM47" s="23"/>
      <c r="AN47" s="23"/>
      <c r="AO47" s="23"/>
      <c r="AP47" s="23"/>
      <c r="AQ47" s="23"/>
      <c r="AR47" s="23"/>
      <c r="AS47" s="23"/>
      <c r="AT47" s="23"/>
      <c r="AU47" s="23"/>
    </row>
    <row r="48" spans="1:47" ht="16.5" x14ac:dyDescent="0.3">
      <c r="A48" s="26"/>
      <c r="B48" s="50" t="s">
        <v>24</v>
      </c>
      <c r="C48" s="279"/>
      <c r="D48" s="280"/>
      <c r="E48" s="280"/>
      <c r="F48" s="280"/>
      <c r="G48" s="280"/>
      <c r="H48" s="280"/>
      <c r="I48" s="280"/>
      <c r="J48" s="280"/>
      <c r="K48" s="280"/>
      <c r="L48" s="280"/>
      <c r="M48" s="280"/>
      <c r="N48" s="280"/>
      <c r="O48" s="280"/>
      <c r="P48" s="280"/>
      <c r="Q48" s="281"/>
      <c r="R48" s="108"/>
      <c r="S48" s="180"/>
      <c r="T48" s="109"/>
      <c r="U48" s="51"/>
      <c r="V48" s="23"/>
      <c r="AD48" s="23"/>
      <c r="AE48" s="23"/>
      <c r="AF48" s="23"/>
      <c r="AG48" s="23"/>
      <c r="AH48" s="23"/>
      <c r="AI48" s="23"/>
      <c r="AJ48" s="23"/>
      <c r="AK48" s="23"/>
      <c r="AL48" s="23"/>
      <c r="AM48" s="23"/>
      <c r="AN48" s="23"/>
      <c r="AO48" s="23"/>
      <c r="AP48" s="23"/>
      <c r="AQ48" s="23"/>
      <c r="AR48" s="23"/>
      <c r="AS48" s="23"/>
      <c r="AT48" s="23"/>
      <c r="AU48" s="23"/>
    </row>
    <row r="49" spans="1:47" ht="16.5" x14ac:dyDescent="0.3">
      <c r="A49" s="26"/>
      <c r="B49" s="52" t="s">
        <v>25</v>
      </c>
      <c r="C49" s="59"/>
      <c r="D49" s="60"/>
      <c r="E49" s="100"/>
      <c r="F49" s="38"/>
      <c r="G49" s="38"/>
      <c r="H49" s="38"/>
      <c r="I49" s="38"/>
      <c r="J49" s="38"/>
      <c r="K49" s="38"/>
      <c r="L49" s="38"/>
      <c r="M49" s="38"/>
      <c r="N49" s="38"/>
      <c r="O49" s="38"/>
      <c r="P49" s="38"/>
      <c r="Q49" s="38"/>
      <c r="R49" s="110"/>
      <c r="S49" s="38"/>
      <c r="T49" s="111"/>
      <c r="U49" s="61">
        <f>SUM(U44:U48)</f>
        <v>0</v>
      </c>
      <c r="V49" s="23"/>
      <c r="AD49" s="23"/>
      <c r="AE49" s="23"/>
      <c r="AF49" s="23"/>
      <c r="AG49" s="23"/>
      <c r="AH49" s="23"/>
      <c r="AI49" s="23"/>
      <c r="AJ49" s="23"/>
      <c r="AK49" s="23"/>
      <c r="AL49" s="23"/>
      <c r="AM49" s="23"/>
      <c r="AN49" s="23"/>
      <c r="AO49" s="23"/>
      <c r="AP49" s="23"/>
      <c r="AQ49" s="23"/>
      <c r="AR49" s="23"/>
      <c r="AS49" s="23"/>
      <c r="AT49" s="23"/>
      <c r="AU49" s="23"/>
    </row>
    <row r="50" spans="1:47" ht="16.5" x14ac:dyDescent="0.3">
      <c r="A50" s="2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D50" s="23"/>
      <c r="AE50" s="23"/>
      <c r="AF50" s="23"/>
      <c r="AG50" s="23"/>
      <c r="AH50" s="23"/>
      <c r="AI50" s="23"/>
      <c r="AJ50" s="23"/>
      <c r="AK50" s="23"/>
      <c r="AL50" s="23"/>
      <c r="AM50" s="23"/>
      <c r="AN50" s="23"/>
      <c r="AO50" s="23"/>
      <c r="AP50" s="23"/>
      <c r="AQ50" s="23"/>
      <c r="AR50" s="23"/>
      <c r="AS50" s="23"/>
      <c r="AT50" s="23"/>
      <c r="AU50" s="23"/>
    </row>
    <row r="51" spans="1:47" ht="16.5" x14ac:dyDescent="0.3">
      <c r="D51" s="23"/>
      <c r="E51" s="23"/>
      <c r="F51" s="23"/>
      <c r="G51" s="23"/>
      <c r="H51" s="23"/>
      <c r="I51" s="23"/>
      <c r="J51" s="26">
        <v>7</v>
      </c>
      <c r="K51" s="27" t="s">
        <v>370</v>
      </c>
      <c r="M51" s="23"/>
      <c r="P51" s="23"/>
      <c r="Q51" s="23"/>
      <c r="R51" s="23"/>
      <c r="S51" s="23"/>
      <c r="T51" s="23"/>
      <c r="U51" s="23"/>
      <c r="V51" s="23"/>
      <c r="W51" s="23"/>
      <c r="X51" s="23"/>
      <c r="Y51" s="23"/>
      <c r="Z51" s="23"/>
      <c r="AA51" s="23"/>
      <c r="AB51" s="23"/>
      <c r="AD51" s="23"/>
      <c r="AE51" s="23"/>
      <c r="AF51" s="23"/>
      <c r="AG51" s="23"/>
      <c r="AH51" s="23"/>
      <c r="AI51" s="23"/>
      <c r="AJ51" s="23"/>
      <c r="AK51" s="23"/>
      <c r="AL51" s="23"/>
      <c r="AM51" s="23"/>
      <c r="AN51" s="23"/>
      <c r="AO51" s="23"/>
      <c r="AP51" s="23"/>
      <c r="AQ51" s="23"/>
      <c r="AR51" s="23"/>
      <c r="AS51" s="23"/>
      <c r="AT51" s="23"/>
      <c r="AU51" s="23"/>
    </row>
    <row r="52" spans="1:47" ht="24.75" customHeight="1" x14ac:dyDescent="0.3">
      <c r="A52" s="26"/>
      <c r="D52" s="23"/>
      <c r="E52" s="23"/>
      <c r="F52" s="23"/>
      <c r="G52" s="23"/>
      <c r="H52" s="23"/>
      <c r="I52" s="23"/>
      <c r="J52" s="23"/>
      <c r="K52" s="282" t="s">
        <v>6</v>
      </c>
      <c r="L52" s="283"/>
      <c r="M52" s="283"/>
      <c r="N52" s="283"/>
      <c r="O52" s="283"/>
      <c r="P52" s="283"/>
      <c r="Q52" s="284"/>
      <c r="R52" s="273" t="str">
        <f>+R42</f>
        <v>At payment  (Dec'23)</v>
      </c>
      <c r="S52" s="275"/>
      <c r="T52" s="275"/>
      <c r="U52" s="274"/>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47" ht="19.5" customHeight="1" x14ac:dyDescent="0.3">
      <c r="A53" s="26"/>
      <c r="C53" s="23"/>
      <c r="D53" s="23"/>
      <c r="E53" s="23"/>
      <c r="F53" s="23"/>
      <c r="G53" s="23"/>
      <c r="H53" s="23"/>
      <c r="I53" s="23"/>
      <c r="J53" s="23"/>
      <c r="K53" s="285"/>
      <c r="L53" s="286"/>
      <c r="M53" s="286"/>
      <c r="N53" s="286"/>
      <c r="O53" s="286"/>
      <c r="P53" s="286"/>
      <c r="Q53" s="287"/>
      <c r="R53" s="98"/>
      <c r="S53" s="181"/>
      <c r="T53" s="99"/>
      <c r="U53" s="45" t="str">
        <f>"Amount ($)"</f>
        <v>Amount ($)</v>
      </c>
      <c r="V53" s="23"/>
      <c r="W53" s="23"/>
      <c r="AI53" s="23"/>
      <c r="AJ53" s="23"/>
      <c r="AK53" s="23"/>
      <c r="AL53" s="23"/>
      <c r="AM53" s="23"/>
      <c r="AN53" s="23"/>
      <c r="AO53" s="23"/>
      <c r="AP53" s="23"/>
      <c r="AQ53" s="23"/>
      <c r="AR53" s="23"/>
      <c r="AS53" s="23"/>
      <c r="AT53" s="23"/>
      <c r="AU53" s="23"/>
    </row>
    <row r="54" spans="1:47" ht="19.5" customHeight="1" x14ac:dyDescent="0.3">
      <c r="D54" s="23"/>
      <c r="E54" s="23"/>
      <c r="F54" s="23"/>
      <c r="G54" s="23"/>
      <c r="H54" s="23"/>
      <c r="I54" s="23"/>
      <c r="J54" s="23"/>
      <c r="K54" s="112" t="s">
        <v>268</v>
      </c>
      <c r="L54" s="113"/>
      <c r="M54" s="113"/>
      <c r="N54" s="113"/>
      <c r="O54" s="113"/>
      <c r="P54" s="113"/>
      <c r="Q54" s="113"/>
      <c r="R54" s="112"/>
      <c r="S54" s="113"/>
      <c r="T54" s="121"/>
      <c r="U54" s="55">
        <f>+MAX(0,U25-U36)</f>
        <v>0</v>
      </c>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ht="19.5" customHeight="1" x14ac:dyDescent="0.3">
      <c r="C55" s="23"/>
      <c r="D55" s="23"/>
      <c r="E55" s="23"/>
      <c r="F55" s="23"/>
      <c r="G55" s="23"/>
      <c r="H55" s="23"/>
      <c r="I55" s="23"/>
      <c r="J55" s="23"/>
      <c r="K55" s="114" t="s">
        <v>270</v>
      </c>
      <c r="L55" s="115"/>
      <c r="M55" s="115"/>
      <c r="N55" s="115"/>
      <c r="O55" s="115"/>
      <c r="P55" s="115"/>
      <c r="Q55" s="115"/>
      <c r="R55" s="114"/>
      <c r="S55" s="115"/>
      <c r="T55" s="122"/>
      <c r="U55" s="49">
        <f>+MIN(U49,U54)</f>
        <v>0</v>
      </c>
      <c r="W55" s="23"/>
      <c r="X55" s="23"/>
      <c r="AG55" s="23"/>
      <c r="AJ55" s="23"/>
      <c r="AK55" s="23"/>
      <c r="AL55" s="23"/>
      <c r="AM55" s="23"/>
      <c r="AN55" s="23"/>
      <c r="AO55" s="23"/>
      <c r="AP55" s="23"/>
      <c r="AQ55" s="23"/>
      <c r="AR55" s="23"/>
      <c r="AS55" s="23"/>
      <c r="AT55" s="23"/>
      <c r="AU55" s="23"/>
    </row>
    <row r="56" spans="1:47" ht="19.5" customHeight="1" x14ac:dyDescent="0.3">
      <c r="D56" s="23"/>
      <c r="E56" s="23"/>
      <c r="F56" s="23"/>
      <c r="G56" s="23"/>
      <c r="H56" s="23"/>
      <c r="I56" s="23"/>
      <c r="J56" s="23"/>
      <c r="K56" s="114" t="s">
        <v>271</v>
      </c>
      <c r="L56" s="115"/>
      <c r="M56" s="115"/>
      <c r="N56" s="115"/>
      <c r="O56" s="115"/>
      <c r="P56" s="115"/>
      <c r="Q56" s="115"/>
      <c r="R56" s="114"/>
      <c r="S56" s="115"/>
      <c r="T56" s="122"/>
      <c r="U56" s="56">
        <f>MAX(0,U49-U54)</f>
        <v>0</v>
      </c>
      <c r="W56" s="23"/>
      <c r="X56" s="23"/>
      <c r="AG56" s="23"/>
      <c r="AJ56" s="23"/>
      <c r="AK56" s="23"/>
      <c r="AL56" s="23"/>
      <c r="AM56" s="23"/>
      <c r="AN56" s="23"/>
      <c r="AO56" s="23"/>
      <c r="AP56" s="23"/>
      <c r="AQ56" s="23"/>
      <c r="AR56" s="23"/>
      <c r="AS56" s="23"/>
      <c r="AT56" s="23"/>
      <c r="AU56" s="23"/>
    </row>
    <row r="57" spans="1:47" ht="19.5" customHeight="1" x14ac:dyDescent="0.3">
      <c r="C57" s="23"/>
      <c r="D57" s="23"/>
      <c r="E57" s="23"/>
      <c r="F57" s="23"/>
      <c r="G57" s="23"/>
      <c r="H57" s="23"/>
      <c r="I57" s="23"/>
      <c r="J57" s="23"/>
      <c r="K57" s="114" t="s">
        <v>365</v>
      </c>
      <c r="L57" s="115"/>
      <c r="M57" s="115"/>
      <c r="N57" s="115"/>
      <c r="O57" s="115"/>
      <c r="P57" s="115"/>
      <c r="Q57" s="115"/>
      <c r="R57" s="114"/>
      <c r="S57" s="115"/>
      <c r="T57" s="122"/>
      <c r="U57" s="48"/>
      <c r="W57" s="23"/>
      <c r="X57" s="23"/>
      <c r="AG57" s="23"/>
      <c r="AJ57" s="23"/>
      <c r="AK57" s="23"/>
      <c r="AL57" s="23"/>
      <c r="AM57" s="23"/>
      <c r="AN57" s="23"/>
      <c r="AO57" s="23"/>
      <c r="AP57" s="23"/>
      <c r="AQ57" s="23"/>
      <c r="AR57" s="23"/>
      <c r="AS57" s="23"/>
      <c r="AT57" s="23"/>
      <c r="AU57" s="23"/>
    </row>
    <row r="58" spans="1:47" ht="19.5" customHeight="1" x14ac:dyDescent="0.3">
      <c r="D58" s="23"/>
      <c r="E58" s="23"/>
      <c r="F58" s="23"/>
      <c r="G58" s="23"/>
      <c r="H58" s="23"/>
      <c r="I58" s="23"/>
      <c r="J58" s="23"/>
      <c r="K58" s="116" t="s">
        <v>273</v>
      </c>
      <c r="L58" s="117"/>
      <c r="M58" s="117"/>
      <c r="N58" s="117"/>
      <c r="O58" s="117"/>
      <c r="P58" s="117"/>
      <c r="Q58" s="117"/>
      <c r="R58" s="116"/>
      <c r="S58" s="117"/>
      <c r="T58" s="123"/>
      <c r="U58" s="51"/>
      <c r="W58" s="23"/>
      <c r="X58" s="23"/>
      <c r="AG58" s="23"/>
      <c r="AJ58" s="23"/>
      <c r="AK58" s="23"/>
      <c r="AL58" s="23"/>
      <c r="AM58" s="23"/>
      <c r="AN58" s="23"/>
      <c r="AO58" s="23"/>
      <c r="AP58" s="23"/>
      <c r="AQ58" s="23"/>
      <c r="AR58" s="23"/>
      <c r="AS58" s="23"/>
      <c r="AT58" s="23"/>
      <c r="AU58" s="23"/>
    </row>
    <row r="59" spans="1:47" ht="19.5" customHeight="1" x14ac:dyDescent="0.3">
      <c r="C59" s="23"/>
      <c r="D59" s="23"/>
      <c r="E59" s="23"/>
      <c r="F59" s="23"/>
      <c r="G59" s="23"/>
      <c r="H59" s="23"/>
      <c r="I59" s="23"/>
      <c r="J59" s="23"/>
      <c r="K59" s="118" t="s">
        <v>366</v>
      </c>
      <c r="L59" s="119"/>
      <c r="M59" s="119"/>
      <c r="N59" s="119"/>
      <c r="O59" s="119"/>
      <c r="P59" s="119"/>
      <c r="Q59" s="119"/>
      <c r="R59" s="118"/>
      <c r="S59" s="119"/>
      <c r="T59" s="124"/>
      <c r="U59" s="53">
        <f>+U54-U55-U57</f>
        <v>0</v>
      </c>
      <c r="W59" s="23"/>
      <c r="X59" s="23"/>
      <c r="AG59" s="23"/>
      <c r="AJ59" s="23"/>
      <c r="AK59" s="23"/>
      <c r="AL59" s="23"/>
      <c r="AM59" s="23"/>
      <c r="AN59" s="23"/>
      <c r="AO59" s="23"/>
      <c r="AP59" s="23"/>
      <c r="AQ59" s="23"/>
      <c r="AR59" s="23"/>
      <c r="AS59" s="23"/>
      <c r="AT59" s="23"/>
      <c r="AU59" s="23"/>
    </row>
    <row r="60" spans="1:47" ht="16.5" x14ac:dyDescent="0.3">
      <c r="P60" s="23"/>
      <c r="W60" s="23"/>
      <c r="X60" s="23"/>
      <c r="AG60" s="23"/>
      <c r="AJ60" s="23"/>
      <c r="AK60" s="23"/>
      <c r="AL60" s="23"/>
      <c r="AM60" s="23"/>
      <c r="AN60" s="23"/>
      <c r="AO60" s="23"/>
      <c r="AP60" s="23"/>
      <c r="AQ60" s="23"/>
      <c r="AR60" s="23"/>
      <c r="AS60" s="23"/>
      <c r="AT60" s="23"/>
      <c r="AU60" s="23"/>
    </row>
    <row r="61" spans="1:47" ht="16.5" x14ac:dyDescent="0.3">
      <c r="J61" s="26">
        <v>8</v>
      </c>
      <c r="K61" s="27" t="s">
        <v>91</v>
      </c>
      <c r="W61" s="23"/>
      <c r="X61" s="23"/>
      <c r="AG61" s="23"/>
      <c r="AJ61" s="23"/>
      <c r="AK61" s="23"/>
      <c r="AL61" s="23"/>
      <c r="AM61" s="23"/>
      <c r="AN61" s="23"/>
      <c r="AO61" s="23"/>
      <c r="AP61" s="23"/>
      <c r="AQ61" s="23"/>
      <c r="AR61" s="23"/>
      <c r="AS61" s="23"/>
      <c r="AT61" s="23"/>
      <c r="AU61" s="23"/>
    </row>
    <row r="62" spans="1:47" ht="16.5" x14ac:dyDescent="0.3">
      <c r="K62" s="273" t="s">
        <v>6</v>
      </c>
      <c r="L62" s="275"/>
      <c r="M62" s="274"/>
      <c r="N62" s="270" t="s">
        <v>272</v>
      </c>
      <c r="O62" s="271"/>
      <c r="P62" s="272"/>
      <c r="R62" s="270" t="s">
        <v>272</v>
      </c>
      <c r="S62" s="271"/>
      <c r="T62" s="271"/>
      <c r="U62" s="272"/>
      <c r="W62" s="23"/>
      <c r="X62" s="23"/>
      <c r="AG62" s="23"/>
      <c r="AJ62" s="23"/>
      <c r="AK62" s="23"/>
      <c r="AL62" s="23"/>
      <c r="AM62" s="23"/>
      <c r="AN62" s="23"/>
      <c r="AO62" s="23"/>
      <c r="AP62" s="23"/>
      <c r="AQ62" s="23"/>
      <c r="AR62" s="23"/>
      <c r="AS62" s="23"/>
      <c r="AT62" s="23"/>
      <c r="AU62" s="23"/>
    </row>
    <row r="63" spans="1:47" ht="16.5" x14ac:dyDescent="0.3">
      <c r="K63" s="29" t="s">
        <v>92</v>
      </c>
      <c r="L63" s="33"/>
      <c r="M63" s="102"/>
      <c r="N63" s="260"/>
      <c r="O63" s="261"/>
      <c r="P63" s="262"/>
      <c r="R63" s="260"/>
      <c r="S63" s="261"/>
      <c r="T63" s="261"/>
      <c r="U63" s="262"/>
      <c r="V63" s="23"/>
      <c r="W63" s="23"/>
      <c r="X63" s="23"/>
      <c r="AG63" s="23"/>
      <c r="AJ63" s="23"/>
      <c r="AK63" s="23"/>
      <c r="AL63" s="23"/>
      <c r="AM63" s="23"/>
      <c r="AN63" s="23"/>
      <c r="AO63" s="23"/>
      <c r="AP63" s="23"/>
      <c r="AQ63" s="23"/>
      <c r="AR63" s="23"/>
      <c r="AS63" s="23"/>
      <c r="AT63" s="23"/>
      <c r="AU63" s="23"/>
    </row>
    <row r="64" spans="1:47" ht="16.5" x14ac:dyDescent="0.3">
      <c r="K64" s="30"/>
      <c r="L64" s="35"/>
      <c r="M64" s="101"/>
      <c r="N64" s="263"/>
      <c r="O64" s="264"/>
      <c r="P64" s="265"/>
      <c r="R64" s="263"/>
      <c r="S64" s="264"/>
      <c r="T64" s="264"/>
      <c r="U64" s="265"/>
      <c r="V64" s="23"/>
      <c r="W64" s="23"/>
      <c r="X64" s="23"/>
      <c r="AG64" s="23"/>
      <c r="AJ64" s="23"/>
      <c r="AK64" s="23"/>
      <c r="AL64" s="23"/>
      <c r="AM64" s="23"/>
      <c r="AN64" s="23"/>
      <c r="AO64" s="23"/>
      <c r="AP64" s="23"/>
      <c r="AQ64" s="23"/>
      <c r="AR64" s="23"/>
      <c r="AS64" s="23"/>
      <c r="AT64" s="23"/>
      <c r="AU64" s="23"/>
    </row>
    <row r="65" spans="1:47" ht="33.75" customHeight="1" x14ac:dyDescent="0.3">
      <c r="K65" s="34"/>
      <c r="L65" s="36"/>
      <c r="M65" s="103"/>
      <c r="N65" s="266"/>
      <c r="O65" s="267"/>
      <c r="P65" s="268"/>
      <c r="R65" s="266"/>
      <c r="S65" s="267"/>
      <c r="T65" s="267"/>
      <c r="U65" s="268"/>
      <c r="V65" s="23"/>
      <c r="W65" s="23"/>
      <c r="X65" s="23"/>
      <c r="AG65" s="23"/>
      <c r="AJ65" s="23"/>
      <c r="AK65" s="23"/>
      <c r="AL65" s="23"/>
      <c r="AM65" s="23"/>
      <c r="AN65" s="23"/>
      <c r="AO65" s="23"/>
      <c r="AP65" s="23"/>
      <c r="AQ65" s="23"/>
      <c r="AR65" s="23"/>
      <c r="AS65" s="23"/>
      <c r="AT65" s="23"/>
      <c r="AU65" s="23"/>
    </row>
    <row r="66" spans="1:47" ht="42.75" customHeight="1" x14ac:dyDescent="0.3">
      <c r="K66" s="29" t="s">
        <v>93</v>
      </c>
      <c r="L66" s="33"/>
      <c r="M66" s="102"/>
      <c r="N66" s="260"/>
      <c r="O66" s="261"/>
      <c r="P66" s="262"/>
      <c r="R66" s="260"/>
      <c r="S66" s="261"/>
      <c r="T66" s="261"/>
      <c r="U66" s="262"/>
      <c r="V66" s="23"/>
      <c r="W66" s="23"/>
      <c r="X66" s="23"/>
      <c r="AG66" s="23"/>
      <c r="AJ66" s="23"/>
      <c r="AK66" s="23"/>
      <c r="AL66" s="23"/>
      <c r="AM66" s="23"/>
      <c r="AN66" s="23"/>
      <c r="AO66" s="23"/>
      <c r="AP66" s="23"/>
      <c r="AQ66" s="23"/>
      <c r="AR66" s="23"/>
      <c r="AS66" s="23"/>
      <c r="AT66" s="23"/>
      <c r="AU66" s="23"/>
    </row>
    <row r="67" spans="1:47" ht="16.5" x14ac:dyDescent="0.3">
      <c r="K67" s="30"/>
      <c r="L67" s="35"/>
      <c r="M67" s="101"/>
      <c r="N67" s="263"/>
      <c r="O67" s="264"/>
      <c r="P67" s="265"/>
      <c r="R67" s="263"/>
      <c r="S67" s="264"/>
      <c r="T67" s="264"/>
      <c r="U67" s="265"/>
      <c r="V67" s="23"/>
      <c r="W67" s="23"/>
      <c r="X67" s="23"/>
      <c r="AG67" s="23"/>
      <c r="AJ67" s="23"/>
      <c r="AK67" s="23"/>
      <c r="AL67" s="23"/>
      <c r="AM67" s="23"/>
      <c r="AN67" s="23"/>
      <c r="AO67" s="23"/>
      <c r="AP67" s="23"/>
      <c r="AQ67" s="23"/>
      <c r="AR67" s="23"/>
      <c r="AS67" s="23"/>
      <c r="AT67" s="23"/>
      <c r="AU67" s="23"/>
    </row>
    <row r="68" spans="1:47" ht="16.5" x14ac:dyDescent="0.3">
      <c r="G68" s="23"/>
      <c r="K68" s="34"/>
      <c r="L68" s="36"/>
      <c r="M68" s="103"/>
      <c r="N68" s="266"/>
      <c r="O68" s="267"/>
      <c r="P68" s="268"/>
      <c r="R68" s="266"/>
      <c r="S68" s="267"/>
      <c r="T68" s="267"/>
      <c r="U68" s="268"/>
      <c r="V68" s="23"/>
      <c r="W68" s="23"/>
      <c r="X68" s="23"/>
      <c r="AG68" s="23"/>
      <c r="AJ68" s="23"/>
      <c r="AK68" s="23"/>
      <c r="AL68" s="23"/>
      <c r="AM68" s="23"/>
      <c r="AN68" s="23"/>
      <c r="AO68" s="23"/>
      <c r="AP68" s="23"/>
      <c r="AQ68" s="23"/>
      <c r="AR68" s="23"/>
      <c r="AS68" s="23"/>
      <c r="AT68" s="23"/>
      <c r="AU68" s="23"/>
    </row>
    <row r="69" spans="1:47" ht="16.5" x14ac:dyDescent="0.3">
      <c r="G69" s="23"/>
      <c r="K69" s="23"/>
      <c r="V69" s="23"/>
      <c r="W69" s="23"/>
      <c r="X69" s="23"/>
      <c r="AG69" s="23"/>
      <c r="AJ69" s="23"/>
      <c r="AK69" s="23"/>
      <c r="AL69" s="23"/>
      <c r="AM69" s="23"/>
      <c r="AN69" s="23"/>
      <c r="AO69" s="23"/>
      <c r="AP69" s="23"/>
      <c r="AQ69" s="23"/>
      <c r="AR69" s="23"/>
      <c r="AS69" s="23"/>
      <c r="AT69" s="23"/>
      <c r="AU69" s="23"/>
    </row>
    <row r="70" spans="1:47" ht="16.5" x14ac:dyDescent="0.3">
      <c r="G70" s="23"/>
      <c r="K70" s="23"/>
      <c r="L70" s="23"/>
      <c r="M70" s="23"/>
      <c r="N70" s="23"/>
      <c r="V70" s="23"/>
      <c r="W70" s="23"/>
      <c r="X70" s="23"/>
      <c r="AG70" s="23"/>
      <c r="AJ70" s="23"/>
      <c r="AK70" s="23"/>
      <c r="AL70" s="23"/>
      <c r="AM70" s="23"/>
      <c r="AN70" s="23"/>
      <c r="AO70" s="23"/>
      <c r="AP70" s="23"/>
      <c r="AQ70" s="23"/>
      <c r="AR70" s="23"/>
      <c r="AS70" s="23"/>
      <c r="AT70" s="23"/>
      <c r="AU70" s="23"/>
    </row>
    <row r="71" spans="1:47" ht="16.5" x14ac:dyDescent="0.3">
      <c r="G71" s="23"/>
      <c r="K71" s="23"/>
      <c r="V71" s="23"/>
      <c r="W71" s="23"/>
      <c r="X71" s="23"/>
      <c r="AG71" s="23"/>
      <c r="AJ71" s="23"/>
      <c r="AK71" s="23"/>
      <c r="AL71" s="23"/>
      <c r="AM71" s="23"/>
      <c r="AN71" s="23"/>
      <c r="AO71" s="23"/>
      <c r="AP71" s="23"/>
      <c r="AQ71" s="23"/>
      <c r="AR71" s="23"/>
      <c r="AS71" s="23"/>
      <c r="AT71" s="23"/>
      <c r="AU71" s="23"/>
    </row>
    <row r="72" spans="1:47" ht="16.5" x14ac:dyDescent="0.3">
      <c r="G72" s="23"/>
      <c r="K72" s="23"/>
      <c r="L72" s="23"/>
      <c r="M72" s="23"/>
      <c r="N72" s="23"/>
      <c r="V72" s="23"/>
      <c r="W72" s="23"/>
      <c r="X72" s="23"/>
      <c r="AG72" s="23"/>
      <c r="AJ72" s="23"/>
      <c r="AK72" s="23"/>
      <c r="AL72" s="23"/>
      <c r="AM72" s="23"/>
      <c r="AN72" s="23"/>
      <c r="AO72" s="23"/>
      <c r="AP72" s="23"/>
      <c r="AQ72" s="23"/>
      <c r="AR72" s="23"/>
      <c r="AS72" s="23"/>
      <c r="AT72" s="23"/>
      <c r="AU72" s="23"/>
    </row>
    <row r="73" spans="1:47" ht="16.5" x14ac:dyDescent="0.3">
      <c r="G73" s="23"/>
      <c r="I73" s="23"/>
      <c r="K73" s="23"/>
      <c r="O73" s="57"/>
      <c r="R73" s="57"/>
      <c r="S73" s="57"/>
      <c r="T73" s="57"/>
      <c r="U73" s="23"/>
      <c r="V73" s="23"/>
      <c r="W73" s="23"/>
      <c r="X73" s="23"/>
      <c r="AG73" s="23"/>
      <c r="AJ73" s="23"/>
      <c r="AK73" s="23"/>
      <c r="AL73" s="23"/>
      <c r="AM73" s="23"/>
      <c r="AN73" s="23"/>
      <c r="AO73" s="23"/>
      <c r="AP73" s="23"/>
      <c r="AQ73" s="23"/>
      <c r="AR73" s="23"/>
      <c r="AS73" s="23"/>
      <c r="AT73" s="23"/>
      <c r="AU73" s="23"/>
    </row>
    <row r="74" spans="1:47" ht="16.5" x14ac:dyDescent="0.3">
      <c r="A74" s="26"/>
      <c r="F74" s="23"/>
      <c r="G74" s="23"/>
      <c r="K74" s="23"/>
      <c r="L74" s="23"/>
      <c r="M74" s="23"/>
      <c r="N74" s="23"/>
      <c r="W74" s="23"/>
      <c r="X74" s="23"/>
      <c r="AG74" s="23"/>
      <c r="AJ74" s="23"/>
      <c r="AK74" s="23"/>
      <c r="AL74" s="23"/>
      <c r="AM74" s="23"/>
      <c r="AN74" s="23"/>
      <c r="AO74" s="23"/>
      <c r="AP74" s="23"/>
      <c r="AQ74" s="23"/>
      <c r="AR74" s="23"/>
      <c r="AS74" s="23"/>
      <c r="AT74" s="23"/>
      <c r="AU74" s="23"/>
    </row>
    <row r="75" spans="1:47" ht="16.5" x14ac:dyDescent="0.3">
      <c r="A75" s="26"/>
      <c r="B75" s="27"/>
      <c r="C75" s="23"/>
      <c r="D75" s="23"/>
      <c r="E75" s="23"/>
      <c r="F75" s="23"/>
      <c r="G75" s="23"/>
      <c r="K75" s="23"/>
      <c r="W75" s="23"/>
      <c r="X75" s="23"/>
      <c r="AG75" s="23"/>
      <c r="AJ75" s="23"/>
      <c r="AK75" s="23"/>
      <c r="AL75" s="23"/>
      <c r="AM75" s="23"/>
      <c r="AN75" s="23"/>
      <c r="AO75" s="23"/>
      <c r="AP75" s="23"/>
      <c r="AQ75" s="23"/>
      <c r="AR75" s="23"/>
      <c r="AS75" s="23"/>
      <c r="AT75" s="23"/>
      <c r="AU75" s="23"/>
    </row>
    <row r="76" spans="1:47" ht="16.5" x14ac:dyDescent="0.3">
      <c r="A76" s="26"/>
      <c r="B76" s="27"/>
      <c r="C76" s="23"/>
      <c r="D76" s="23"/>
      <c r="E76" s="23"/>
      <c r="F76" s="23"/>
      <c r="G76" s="23"/>
      <c r="K76" s="23"/>
      <c r="L76" s="23"/>
      <c r="M76" s="23"/>
      <c r="N76" s="23"/>
      <c r="W76" s="23"/>
      <c r="X76" s="23"/>
      <c r="AG76" s="23"/>
      <c r="AJ76" s="23"/>
      <c r="AK76" s="23"/>
      <c r="AL76" s="23"/>
      <c r="AM76" s="23"/>
      <c r="AN76" s="23"/>
      <c r="AO76" s="23"/>
      <c r="AP76" s="23"/>
      <c r="AQ76" s="23"/>
      <c r="AR76" s="23"/>
      <c r="AS76" s="23"/>
      <c r="AT76" s="23"/>
      <c r="AU76" s="23"/>
    </row>
    <row r="77" spans="1:47" ht="16.5" x14ac:dyDescent="0.3">
      <c r="A77" s="26"/>
      <c r="B77" s="27"/>
      <c r="C77" s="23"/>
      <c r="D77" s="23"/>
      <c r="E77" s="23"/>
      <c r="F77" s="23"/>
      <c r="G77" s="23"/>
      <c r="K77" s="23"/>
      <c r="W77" s="23"/>
      <c r="X77" s="23"/>
      <c r="AG77" s="23"/>
      <c r="AJ77" s="23"/>
      <c r="AK77" s="23"/>
      <c r="AL77" s="23"/>
      <c r="AM77" s="23"/>
      <c r="AN77" s="23"/>
      <c r="AO77" s="23"/>
      <c r="AP77" s="23"/>
      <c r="AQ77" s="23"/>
      <c r="AR77" s="23"/>
      <c r="AS77" s="23"/>
      <c r="AT77" s="23"/>
      <c r="AU77" s="23"/>
    </row>
    <row r="78" spans="1:47" ht="16.5" x14ac:dyDescent="0.3">
      <c r="A78" s="26"/>
      <c r="B78" s="27"/>
      <c r="C78" s="23"/>
      <c r="D78" s="23"/>
      <c r="E78" s="23"/>
      <c r="K78" s="23"/>
      <c r="L78" s="23"/>
      <c r="M78" s="23"/>
      <c r="N78" s="23"/>
      <c r="W78" s="23"/>
      <c r="AJ78" s="23"/>
      <c r="AK78" s="23"/>
      <c r="AL78" s="23"/>
      <c r="AM78" s="23"/>
      <c r="AN78" s="23"/>
      <c r="AO78" s="23"/>
      <c r="AP78" s="23"/>
      <c r="AQ78" s="23"/>
      <c r="AR78" s="23"/>
      <c r="AS78" s="23"/>
      <c r="AT78" s="23"/>
      <c r="AU78" s="23"/>
    </row>
    <row r="79" spans="1:47" ht="16.5" x14ac:dyDescent="0.3">
      <c r="A79" s="26"/>
      <c r="B79" s="27"/>
      <c r="C79" s="23"/>
      <c r="D79" s="23"/>
      <c r="E79" s="23"/>
      <c r="K79" s="23"/>
      <c r="W79" s="23"/>
      <c r="AJ79" s="23"/>
      <c r="AK79" s="23"/>
      <c r="AL79" s="23"/>
      <c r="AM79" s="23"/>
      <c r="AN79" s="23"/>
      <c r="AO79" s="23"/>
      <c r="AP79" s="23"/>
      <c r="AQ79" s="23"/>
      <c r="AR79" s="23"/>
      <c r="AS79" s="23"/>
      <c r="AT79" s="23"/>
      <c r="AU79" s="23"/>
    </row>
    <row r="80" spans="1:47" ht="16.5" x14ac:dyDescent="0.3">
      <c r="A80" s="26"/>
      <c r="B80" s="27"/>
      <c r="C80" s="23"/>
      <c r="D80" s="23"/>
      <c r="E80" s="23"/>
      <c r="W80" s="23"/>
      <c r="AJ80" s="23"/>
      <c r="AK80" s="23"/>
      <c r="AL80" s="23"/>
      <c r="AM80" s="23"/>
      <c r="AN80" s="23"/>
      <c r="AO80" s="23"/>
      <c r="AP80" s="23"/>
      <c r="AQ80" s="23"/>
      <c r="AR80" s="23"/>
      <c r="AS80" s="23"/>
      <c r="AT80" s="23"/>
      <c r="AU80" s="23"/>
    </row>
    <row r="81" spans="1:47" ht="16.5" x14ac:dyDescent="0.3">
      <c r="A81" s="26"/>
      <c r="B81" s="27"/>
      <c r="C81" s="23"/>
      <c r="D81" s="23"/>
      <c r="E81" s="23"/>
      <c r="U81" s="23"/>
      <c r="V81" s="23"/>
      <c r="W81" s="23"/>
      <c r="AI81" s="23"/>
      <c r="AJ81" s="23"/>
      <c r="AK81" s="23"/>
      <c r="AL81" s="23"/>
      <c r="AM81" s="23"/>
      <c r="AN81" s="23"/>
      <c r="AO81" s="23"/>
      <c r="AP81" s="23"/>
      <c r="AQ81" s="23"/>
      <c r="AR81" s="23"/>
      <c r="AS81" s="23"/>
      <c r="AT81" s="23"/>
      <c r="AU81" s="23"/>
    </row>
    <row r="82" spans="1:47" ht="16.5" x14ac:dyDescent="0.3">
      <c r="A82" s="26"/>
      <c r="B82" s="27"/>
      <c r="C82" s="23"/>
      <c r="D82" s="23"/>
      <c r="E82" s="23"/>
      <c r="U82" s="23"/>
      <c r="V82" s="23"/>
      <c r="W82" s="23"/>
      <c r="AI82" s="23"/>
      <c r="AJ82" s="23"/>
      <c r="AK82" s="23"/>
      <c r="AL82" s="23"/>
      <c r="AM82" s="23"/>
      <c r="AN82" s="23"/>
      <c r="AO82" s="23"/>
      <c r="AP82" s="23"/>
      <c r="AQ82" s="23"/>
      <c r="AR82" s="23"/>
      <c r="AS82" s="23"/>
      <c r="AT82" s="23"/>
      <c r="AU82" s="23"/>
    </row>
    <row r="83" spans="1:47" ht="16.5" x14ac:dyDescent="0.3">
      <c r="A83" s="26"/>
      <c r="B83" s="27"/>
      <c r="C83" s="23"/>
      <c r="D83" s="23"/>
      <c r="E83" s="23"/>
      <c r="U83" s="23"/>
      <c r="V83" s="23"/>
      <c r="W83" s="23"/>
      <c r="AI83" s="23"/>
      <c r="AJ83" s="23"/>
      <c r="AK83" s="23"/>
      <c r="AL83" s="23"/>
      <c r="AM83" s="23"/>
      <c r="AN83" s="23"/>
      <c r="AO83" s="23"/>
      <c r="AP83" s="23"/>
      <c r="AQ83" s="23"/>
      <c r="AR83" s="23"/>
      <c r="AS83" s="23"/>
      <c r="AT83" s="23"/>
      <c r="AU83" s="23"/>
    </row>
    <row r="84" spans="1:47" ht="16.5" x14ac:dyDescent="0.3">
      <c r="A84" s="26"/>
      <c r="B84" s="27"/>
      <c r="C84" s="23"/>
      <c r="U84" s="23"/>
      <c r="V84" s="23"/>
      <c r="W84" s="23"/>
      <c r="AI84" s="23"/>
      <c r="AJ84" s="23"/>
      <c r="AK84" s="23"/>
      <c r="AL84" s="23"/>
      <c r="AM84" s="23"/>
      <c r="AN84" s="23"/>
      <c r="AO84" s="23"/>
      <c r="AP84" s="23"/>
      <c r="AQ84" s="23"/>
      <c r="AR84" s="23"/>
      <c r="AS84" s="23"/>
      <c r="AT84" s="23"/>
      <c r="AU84" s="23"/>
    </row>
    <row r="85" spans="1:47" ht="16.5" x14ac:dyDescent="0.3">
      <c r="A85" s="26"/>
      <c r="B85" s="27"/>
      <c r="C85" s="23"/>
      <c r="U85" s="23"/>
      <c r="V85" s="23"/>
      <c r="W85" s="23"/>
      <c r="AI85" s="23"/>
      <c r="AJ85" s="23"/>
      <c r="AK85" s="23"/>
      <c r="AL85" s="23"/>
      <c r="AM85" s="23"/>
      <c r="AN85" s="23"/>
      <c r="AO85" s="23"/>
      <c r="AP85" s="23"/>
      <c r="AQ85" s="23"/>
      <c r="AR85" s="23"/>
      <c r="AS85" s="23"/>
      <c r="AT85" s="23"/>
      <c r="AU85" s="23"/>
    </row>
    <row r="86" spans="1:47" ht="16.5" x14ac:dyDescent="0.3">
      <c r="A86" s="26"/>
      <c r="B86" s="27"/>
      <c r="C86" s="23"/>
      <c r="U86" s="23"/>
      <c r="V86" s="23"/>
      <c r="W86" s="23"/>
      <c r="AI86" s="23"/>
      <c r="AJ86" s="23"/>
      <c r="AK86" s="23"/>
      <c r="AL86" s="23"/>
      <c r="AM86" s="23"/>
      <c r="AN86" s="23"/>
      <c r="AO86" s="23"/>
      <c r="AP86" s="23"/>
      <c r="AQ86" s="23"/>
      <c r="AR86" s="23"/>
      <c r="AS86" s="23"/>
      <c r="AT86" s="23"/>
      <c r="AU86" s="23"/>
    </row>
    <row r="87" spans="1:47" ht="16.5" x14ac:dyDescent="0.3">
      <c r="A87" s="26"/>
      <c r="B87" s="27"/>
      <c r="C87" s="23"/>
      <c r="D87" s="23"/>
      <c r="E87" s="23"/>
      <c r="G87" s="23"/>
      <c r="H87" s="23"/>
      <c r="I87" s="23"/>
      <c r="U87" s="23"/>
      <c r="V87" s="23"/>
      <c r="W87" s="23"/>
      <c r="AI87" s="23"/>
      <c r="AJ87" s="23"/>
      <c r="AK87" s="23"/>
      <c r="AL87" s="23"/>
      <c r="AM87" s="23"/>
      <c r="AN87" s="23"/>
      <c r="AO87" s="23"/>
      <c r="AP87" s="23"/>
      <c r="AQ87" s="23"/>
      <c r="AR87" s="23"/>
      <c r="AS87" s="23"/>
      <c r="AT87" s="23"/>
      <c r="AU87" s="23"/>
    </row>
    <row r="88" spans="1:47" ht="16.5" x14ac:dyDescent="0.3">
      <c r="A88" s="26"/>
      <c r="B88" s="27"/>
      <c r="C88" s="23"/>
      <c r="D88" s="23"/>
      <c r="E88" s="23"/>
      <c r="F88" s="23"/>
      <c r="G88" s="23"/>
      <c r="H88" s="23"/>
      <c r="I88" s="23"/>
      <c r="U88" s="23"/>
      <c r="V88" s="23"/>
      <c r="W88" s="23"/>
      <c r="AI88" s="23"/>
      <c r="AJ88" s="23"/>
      <c r="AK88" s="23"/>
      <c r="AL88" s="23"/>
      <c r="AM88" s="23"/>
      <c r="AN88" s="23"/>
      <c r="AO88" s="23"/>
      <c r="AP88" s="23"/>
      <c r="AQ88" s="23"/>
      <c r="AR88" s="23"/>
      <c r="AS88" s="23"/>
      <c r="AT88" s="23"/>
      <c r="AU88" s="23"/>
    </row>
    <row r="89" spans="1:47" ht="16.5" x14ac:dyDescent="0.3">
      <c r="A89" s="26"/>
      <c r="B89" s="27"/>
      <c r="C89" s="23"/>
      <c r="D89" s="23"/>
      <c r="E89" s="23"/>
      <c r="F89" s="23"/>
      <c r="G89" s="23"/>
      <c r="H89" s="23"/>
      <c r="I89" s="23"/>
      <c r="U89" s="23"/>
      <c r="V89" s="23"/>
      <c r="W89" s="23"/>
      <c r="AI89" s="23"/>
      <c r="AJ89" s="23"/>
      <c r="AK89" s="23"/>
      <c r="AL89" s="23"/>
      <c r="AM89" s="23"/>
      <c r="AN89" s="23"/>
      <c r="AO89" s="23"/>
      <c r="AP89" s="23"/>
      <c r="AQ89" s="23"/>
      <c r="AR89" s="23"/>
      <c r="AS89" s="23"/>
      <c r="AT89" s="23"/>
      <c r="AU89" s="23"/>
    </row>
    <row r="90" spans="1:47" ht="16.5" x14ac:dyDescent="0.3">
      <c r="A90" s="26"/>
      <c r="B90" s="27"/>
      <c r="C90" s="23"/>
      <c r="D90" s="23"/>
      <c r="E90" s="23"/>
      <c r="F90" s="23"/>
      <c r="G90" s="23"/>
      <c r="H90" s="23"/>
      <c r="I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1:47" ht="16.5" x14ac:dyDescent="0.3">
      <c r="A91" s="27"/>
      <c r="B91" s="27"/>
      <c r="C91" s="27"/>
      <c r="D91" s="27"/>
      <c r="E91" s="27"/>
      <c r="F91" s="27"/>
      <c r="G91" s="27"/>
      <c r="H91" s="27"/>
      <c r="I91" s="27"/>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row>
    <row r="92" spans="1:47" ht="16.5" x14ac:dyDescent="0.3">
      <c r="A92" s="27"/>
      <c r="B92" s="27"/>
      <c r="C92" s="27"/>
      <c r="D92" s="27"/>
      <c r="E92" s="27"/>
      <c r="F92" s="27"/>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row>
    <row r="93" spans="1:47" ht="16.5" x14ac:dyDescent="0.3">
      <c r="A93" s="27"/>
      <c r="B93" s="27"/>
      <c r="C93" s="27"/>
      <c r="D93" s="27"/>
      <c r="E93" s="27"/>
      <c r="F93" s="27"/>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row>
    <row r="94" spans="1:47" ht="30" customHeight="1" x14ac:dyDescent="0.3">
      <c r="A94" s="27"/>
      <c r="B94" s="27"/>
      <c r="C94" s="27"/>
      <c r="D94" s="27"/>
      <c r="E94" s="27"/>
      <c r="F94" s="27"/>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row>
    <row r="95" spans="1:47" ht="54" customHeight="1" x14ac:dyDescent="0.3">
      <c r="A95" s="27"/>
      <c r="B95" s="27"/>
      <c r="C95" s="27"/>
      <c r="D95" s="27"/>
      <c r="E95" s="27"/>
      <c r="F95" s="27"/>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row>
    <row r="96" spans="1:47" ht="16.5" x14ac:dyDescent="0.3">
      <c r="A96" s="27"/>
      <c r="B96" s="27"/>
      <c r="C96" s="27"/>
      <c r="D96" s="27"/>
      <c r="E96" s="27"/>
      <c r="F96" s="27"/>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row>
    <row r="97" spans="1:47" ht="16.5" x14ac:dyDescent="0.3">
      <c r="A97" s="27"/>
      <c r="B97" s="27"/>
      <c r="C97" s="27"/>
      <c r="D97" s="27"/>
      <c r="E97" s="27"/>
      <c r="F97" s="27"/>
      <c r="N97" s="27"/>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row>
    <row r="98" spans="1:47" ht="16.5" x14ac:dyDescent="0.3">
      <c r="A98" s="27"/>
      <c r="B98" s="27"/>
      <c r="C98" s="27"/>
      <c r="D98" s="27"/>
      <c r="E98" s="27"/>
      <c r="F98" s="27"/>
      <c r="N98" s="27"/>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row>
    <row r="99" spans="1:47" ht="16.5" x14ac:dyDescent="0.3">
      <c r="A99" s="27"/>
      <c r="B99" s="27"/>
      <c r="C99" s="27"/>
      <c r="D99" s="27"/>
      <c r="E99" s="27"/>
      <c r="F99" s="27"/>
      <c r="N99" s="27"/>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row>
    <row r="100" spans="1:47" ht="16.5" x14ac:dyDescent="0.3">
      <c r="A100" s="27"/>
      <c r="B100" s="27"/>
      <c r="C100" s="27"/>
      <c r="D100" s="27"/>
      <c r="E100" s="27"/>
      <c r="F100" s="27"/>
      <c r="N100" s="27"/>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row>
    <row r="101" spans="1:47" ht="16.5" x14ac:dyDescent="0.3">
      <c r="A101" s="27"/>
      <c r="B101" s="27"/>
      <c r="C101" s="27"/>
      <c r="D101" s="27"/>
      <c r="E101" s="27"/>
      <c r="F101" s="27"/>
      <c r="N101" s="27"/>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row>
    <row r="102" spans="1:47" ht="16.5" x14ac:dyDescent="0.3">
      <c r="A102" s="27"/>
      <c r="B102" s="27"/>
      <c r="C102" s="27"/>
      <c r="D102" s="27"/>
      <c r="E102" s="27"/>
      <c r="F102" s="27"/>
      <c r="G102" s="27"/>
      <c r="H102" s="27"/>
      <c r="I102" s="27"/>
      <c r="J102" s="27"/>
      <c r="K102" s="27"/>
      <c r="L102" s="27"/>
      <c r="M102" s="27"/>
      <c r="N102" s="27"/>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row>
    <row r="103" spans="1:47" ht="16.5" x14ac:dyDescent="0.3">
      <c r="A103" s="26"/>
      <c r="B103" s="23"/>
      <c r="C103" s="23"/>
      <c r="D103" s="23"/>
      <c r="E103" s="23"/>
      <c r="F103" s="23"/>
      <c r="G103" s="23"/>
      <c r="H103" s="23"/>
      <c r="I103" s="23"/>
      <c r="J103" s="23"/>
      <c r="K103" s="23"/>
      <c r="L103" s="23"/>
      <c r="M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row>
    <row r="104" spans="1:47" ht="16.5" x14ac:dyDescent="0.3">
      <c r="A104" s="26">
        <v>7</v>
      </c>
      <c r="O104" s="23"/>
      <c r="P104" s="23"/>
      <c r="Q104" s="23"/>
      <c r="R104" s="23"/>
      <c r="S104" s="23"/>
      <c r="T104" s="23"/>
      <c r="U104" s="23"/>
      <c r="V104" s="23"/>
      <c r="W104" s="23"/>
      <c r="X104" s="23"/>
      <c r="Y104" s="23"/>
      <c r="Z104" s="23"/>
      <c r="AA104" s="23"/>
      <c r="AB104" s="23"/>
      <c r="AC104" s="23"/>
      <c r="AD104" s="23"/>
      <c r="AE104" s="23"/>
      <c r="AF104" s="23"/>
      <c r="AG104" s="23"/>
      <c r="AH104" s="23"/>
    </row>
    <row r="105" spans="1:47" ht="16.5" x14ac:dyDescent="0.3">
      <c r="A105" s="26"/>
    </row>
    <row r="106" spans="1:47" ht="16.5" x14ac:dyDescent="0.3">
      <c r="A106" s="26"/>
    </row>
    <row r="107" spans="1:47" ht="16.5" x14ac:dyDescent="0.3">
      <c r="A107" s="26"/>
    </row>
    <row r="108" spans="1:47" ht="16.5" x14ac:dyDescent="0.3">
      <c r="A108" s="26"/>
    </row>
    <row r="109" spans="1:47" ht="16.5" x14ac:dyDescent="0.3">
      <c r="A109" s="26"/>
    </row>
    <row r="110" spans="1:47" ht="16.5" x14ac:dyDescent="0.3">
      <c r="A110" s="26"/>
    </row>
    <row r="111" spans="1:47" ht="16.5" x14ac:dyDescent="0.3">
      <c r="A111" s="26"/>
    </row>
    <row r="120" ht="12.75" customHeight="1" x14ac:dyDescent="0.2"/>
  </sheetData>
  <sheetProtection algorithmName="SHA-512" hashValue="M1KireYp2xwvKy+aS2UZ/Vnt3Nf3QAaCqzfVAN8oLHKDul31hiEvncfG6scwHegFNa0Hg8KddyGVnuWLYanFdg==" saltValue="pM/6mdNMiBxkT5j9dLHYqA==" spinCount="100000" sheet="1" objects="1" scenarios="1"/>
  <mergeCells count="97">
    <mergeCell ref="AC29:AC30"/>
    <mergeCell ref="H28:P28"/>
    <mergeCell ref="H29:I29"/>
    <mergeCell ref="J29:N29"/>
    <mergeCell ref="X29:X30"/>
    <mergeCell ref="Y29:Y30"/>
    <mergeCell ref="X28:AB28"/>
    <mergeCell ref="AC28:AH28"/>
    <mergeCell ref="T29:T30"/>
    <mergeCell ref="U29:U30"/>
    <mergeCell ref="S29:S30"/>
    <mergeCell ref="AD29:AD30"/>
    <mergeCell ref="AE29:AE30"/>
    <mergeCell ref="AF29:AF30"/>
    <mergeCell ref="AG29:AG30"/>
    <mergeCell ref="AH29:AH30"/>
    <mergeCell ref="AB18:AB19"/>
    <mergeCell ref="W17:W19"/>
    <mergeCell ref="W28:W30"/>
    <mergeCell ref="Z29:Z30"/>
    <mergeCell ref="AA29:AA30"/>
    <mergeCell ref="AB29:AB30"/>
    <mergeCell ref="B17:E19"/>
    <mergeCell ref="AD18:AD19"/>
    <mergeCell ref="C25:O25"/>
    <mergeCell ref="B20:E20"/>
    <mergeCell ref="B21:E21"/>
    <mergeCell ref="B22:E22"/>
    <mergeCell ref="F17:F19"/>
    <mergeCell ref="G17:G19"/>
    <mergeCell ref="B23:E23"/>
    <mergeCell ref="B24:E24"/>
    <mergeCell ref="X17:AB17"/>
    <mergeCell ref="X18:X19"/>
    <mergeCell ref="Y18:Y19"/>
    <mergeCell ref="S18:S19"/>
    <mergeCell ref="Z18:Z19"/>
    <mergeCell ref="AA18:AA19"/>
    <mergeCell ref="AG18:AG19"/>
    <mergeCell ref="J18:N18"/>
    <mergeCell ref="AC17:AH17"/>
    <mergeCell ref="U18:U19"/>
    <mergeCell ref="P18:P19"/>
    <mergeCell ref="R18:R19"/>
    <mergeCell ref="H17:P17"/>
    <mergeCell ref="R17:U17"/>
    <mergeCell ref="T18:T19"/>
    <mergeCell ref="O18:O19"/>
    <mergeCell ref="H18:I18"/>
    <mergeCell ref="AH18:AH19"/>
    <mergeCell ref="AE18:AE19"/>
    <mergeCell ref="AF18:AF19"/>
    <mergeCell ref="J19:L19"/>
    <mergeCell ref="AC18:AC19"/>
    <mergeCell ref="B6:C6"/>
    <mergeCell ref="D6:F6"/>
    <mergeCell ref="D8:F8"/>
    <mergeCell ref="D7:F7"/>
    <mergeCell ref="D9:F9"/>
    <mergeCell ref="D11:F11"/>
    <mergeCell ref="D10:F10"/>
    <mergeCell ref="H7:K7"/>
    <mergeCell ref="N63:P65"/>
    <mergeCell ref="N66:P68"/>
    <mergeCell ref="B34:E34"/>
    <mergeCell ref="B35:E35"/>
    <mergeCell ref="B42:B43"/>
    <mergeCell ref="C42:Q42"/>
    <mergeCell ref="J30:L30"/>
    <mergeCell ref="C45:Q45"/>
    <mergeCell ref="C44:Q44"/>
    <mergeCell ref="B31:E31"/>
    <mergeCell ref="B32:E32"/>
    <mergeCell ref="B33:E33"/>
    <mergeCell ref="B28:E30"/>
    <mergeCell ref="R63:U65"/>
    <mergeCell ref="R66:U68"/>
    <mergeCell ref="C36:O36"/>
    <mergeCell ref="N62:P62"/>
    <mergeCell ref="R62:U62"/>
    <mergeCell ref="N39:O39"/>
    <mergeCell ref="R39:T39"/>
    <mergeCell ref="R52:U52"/>
    <mergeCell ref="K62:M62"/>
    <mergeCell ref="R42:U42"/>
    <mergeCell ref="R43:T43"/>
    <mergeCell ref="C47:Q47"/>
    <mergeCell ref="C48:Q48"/>
    <mergeCell ref="K52:Q53"/>
    <mergeCell ref="C46:Q46"/>
    <mergeCell ref="C43:Q43"/>
    <mergeCell ref="F28:F30"/>
    <mergeCell ref="G28:G30"/>
    <mergeCell ref="R28:U28"/>
    <mergeCell ref="R29:R30"/>
    <mergeCell ref="O29:O30"/>
    <mergeCell ref="P29:P30"/>
  </mergeCells>
  <phoneticPr fontId="6" type="noConversion"/>
  <conditionalFormatting sqref="I20:I24">
    <cfRule type="expression" dxfId="4" priority="11">
      <formula>H20="FPA"</formula>
    </cfRule>
  </conditionalFormatting>
  <conditionalFormatting sqref="I31:I35">
    <cfRule type="expression" dxfId="3" priority="2">
      <formula>H31="FPA"</formula>
    </cfRule>
  </conditionalFormatting>
  <conditionalFormatting sqref="L7">
    <cfRule type="expression" dxfId="2" priority="3">
      <formula>K7="FPA"</formula>
    </cfRule>
  </conditionalFormatting>
  <conditionalFormatting sqref="N20:N24">
    <cfRule type="expression" dxfId="1" priority="9">
      <formula>M20="FPA"</formula>
    </cfRule>
  </conditionalFormatting>
  <conditionalFormatting sqref="N31:N35">
    <cfRule type="expression" dxfId="0" priority="1">
      <formula>M31="FPA"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'Service areas'!$A$8:$A$20</xm:f>
          </x14:formula1>
          <xm:sqref>H7</xm:sqref>
        </x14:dataValidation>
        <x14:dataValidation type="list" allowBlank="1" showInputMessage="1" showErrorMessage="1" xr:uid="{A4EEB565-2BF4-492B-A903-DE769DF5D948}">
          <x14:formula1>
            <xm:f>'Reference data'!$Z$9:$AU$9</xm:f>
          </x14:formula1>
          <xm:sqref>D10:F10</xm:sqref>
        </x14:dataValidation>
        <x14:dataValidation type="list" allowBlank="1" showInputMessage="1" showErrorMessage="1" xr:uid="{00000000-0002-0000-0200-000000000000}">
          <x14:formula1>
            <xm:f>'Reference data'!$A$10:$A$174</xm:f>
          </x14:formula1>
          <xm:sqref>B31:E35 B20:E24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70" zoomScaleNormal="70" workbookViewId="0">
      <selection activeCell="AI28" sqref="AI28"/>
    </sheetView>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
  <sheetViews>
    <sheetView zoomScaleNormal="100" workbookViewId="0">
      <selection activeCell="D15" sqref="D15"/>
    </sheetView>
  </sheetViews>
  <sheetFormatPr defaultRowHeight="12.75" outlineLevelCol="1" x14ac:dyDescent="0.2"/>
  <cols>
    <col min="1" max="1" width="53.42578125" style="7" customWidth="1"/>
    <col min="2" max="2" width="11.85546875" style="7" customWidth="1"/>
    <col min="3" max="4" width="10.5703125" style="7" customWidth="1"/>
    <col min="5" max="5" width="13.42578125" style="7" customWidth="1"/>
    <col min="6" max="10" width="13.5703125" style="7" hidden="1" customWidth="1" outlineLevel="1"/>
    <col min="11" max="11" width="52.85546875" style="7" customWidth="1" collapsed="1"/>
    <col min="12" max="13" width="9.85546875" style="7" bestFit="1" customWidth="1"/>
    <col min="14" max="14" width="11" style="7" bestFit="1" customWidth="1"/>
    <col min="15" max="16" width="9.42578125" style="7" bestFit="1" customWidth="1"/>
    <col min="17" max="17" width="11" style="7" bestFit="1" customWidth="1"/>
    <col min="18" max="16384" width="9.140625" style="7"/>
  </cols>
  <sheetData>
    <row r="1" spans="1:17" ht="18" x14ac:dyDescent="0.25">
      <c r="A1" s="16" t="s">
        <v>19</v>
      </c>
      <c r="B1" s="15"/>
      <c r="C1" s="15"/>
      <c r="D1" s="15"/>
      <c r="E1" s="15"/>
      <c r="F1" s="15"/>
      <c r="G1" s="15"/>
      <c r="H1" s="15"/>
      <c r="I1" s="15"/>
      <c r="J1" s="15"/>
      <c r="K1" s="15"/>
      <c r="L1" s="15"/>
      <c r="M1" s="15"/>
      <c r="N1" s="15"/>
      <c r="O1" s="15"/>
      <c r="P1" s="15"/>
      <c r="Q1" s="15"/>
    </row>
    <row r="2" spans="1:17" ht="14.25" x14ac:dyDescent="0.2">
      <c r="A2" s="86" t="s">
        <v>14</v>
      </c>
      <c r="B2" s="15"/>
      <c r="C2" s="15"/>
      <c r="D2" s="15"/>
      <c r="E2" s="15"/>
      <c r="F2" s="15"/>
      <c r="G2" s="15"/>
      <c r="H2" s="15"/>
      <c r="I2" s="15"/>
      <c r="J2" s="15"/>
      <c r="K2" s="15"/>
      <c r="L2" s="15"/>
      <c r="M2" s="15"/>
      <c r="N2" s="15"/>
      <c r="O2" s="15"/>
      <c r="P2" s="15"/>
      <c r="Q2" s="15"/>
    </row>
    <row r="3" spans="1:17" ht="14.25" x14ac:dyDescent="0.2">
      <c r="A3" s="15"/>
      <c r="B3" s="15"/>
      <c r="C3" s="15"/>
      <c r="D3" s="15"/>
      <c r="E3" s="15"/>
      <c r="F3" s="15"/>
      <c r="G3" s="15"/>
      <c r="H3" s="15"/>
      <c r="I3" s="15"/>
      <c r="J3" s="15"/>
      <c r="K3" s="15"/>
      <c r="L3" s="15"/>
      <c r="M3" s="15"/>
      <c r="N3" s="15"/>
      <c r="O3" s="15"/>
      <c r="P3" s="15"/>
      <c r="Q3" s="15"/>
    </row>
    <row r="4" spans="1:17" ht="14.25" x14ac:dyDescent="0.2">
      <c r="A4" s="64" t="s">
        <v>355</v>
      </c>
      <c r="E4" s="15"/>
      <c r="F4" s="15"/>
      <c r="G4" s="15"/>
      <c r="H4" s="15"/>
      <c r="I4" s="15"/>
      <c r="J4" s="15"/>
      <c r="K4" s="15"/>
      <c r="L4" s="15"/>
      <c r="M4" s="15"/>
      <c r="N4" s="15"/>
      <c r="O4" s="15"/>
      <c r="P4" s="15"/>
      <c r="Q4" s="15"/>
    </row>
    <row r="5" spans="1:17" ht="29.25" customHeight="1" x14ac:dyDescent="0.2">
      <c r="A5" s="334" t="s">
        <v>348</v>
      </c>
      <c r="B5" s="325" t="s">
        <v>397</v>
      </c>
      <c r="C5" s="326"/>
      <c r="D5" s="325" t="s">
        <v>349</v>
      </c>
      <c r="E5" s="326"/>
      <c r="F5" s="322" t="s">
        <v>363</v>
      </c>
      <c r="G5" s="323"/>
      <c r="H5" s="323"/>
      <c r="I5" s="323"/>
      <c r="J5" s="324"/>
      <c r="L5" s="15"/>
      <c r="M5" s="15"/>
      <c r="N5" s="15"/>
      <c r="O5" s="15"/>
      <c r="P5" s="15"/>
      <c r="Q5" s="15"/>
    </row>
    <row r="6" spans="1:17" ht="22.5" customHeight="1" x14ac:dyDescent="0.2">
      <c r="A6" s="335"/>
      <c r="B6" s="327"/>
      <c r="C6" s="328"/>
      <c r="D6" s="327"/>
      <c r="E6" s="328"/>
      <c r="F6" s="62" t="s">
        <v>20</v>
      </c>
      <c r="G6" s="62" t="s">
        <v>21</v>
      </c>
      <c r="H6" s="62" t="s">
        <v>345</v>
      </c>
      <c r="I6" s="62" t="s">
        <v>23</v>
      </c>
      <c r="J6" s="62" t="s">
        <v>24</v>
      </c>
      <c r="L6" s="15"/>
      <c r="M6" s="15"/>
      <c r="N6" s="15"/>
      <c r="O6" s="15"/>
      <c r="P6" s="15"/>
      <c r="Q6" s="15"/>
    </row>
    <row r="7" spans="1:17" ht="21" customHeight="1" x14ac:dyDescent="0.2">
      <c r="A7" s="336"/>
      <c r="B7" s="67" t="s">
        <v>347</v>
      </c>
      <c r="C7" s="67" t="s">
        <v>346</v>
      </c>
      <c r="D7" s="67" t="s">
        <v>347</v>
      </c>
      <c r="E7" s="67" t="s">
        <v>346</v>
      </c>
      <c r="F7" s="63" t="s">
        <v>352</v>
      </c>
      <c r="G7" s="63" t="s">
        <v>352</v>
      </c>
      <c r="H7" s="63" t="s">
        <v>353</v>
      </c>
      <c r="I7" s="63" t="s">
        <v>353</v>
      </c>
      <c r="J7" s="63" t="s">
        <v>354</v>
      </c>
      <c r="L7" s="15"/>
      <c r="M7" s="15"/>
      <c r="N7" s="15"/>
      <c r="O7" s="15"/>
      <c r="P7" s="15"/>
      <c r="Q7" s="15"/>
    </row>
    <row r="8" spans="1:17" ht="14.25" customHeight="1" x14ac:dyDescent="0.2">
      <c r="A8" s="71" t="s">
        <v>26</v>
      </c>
      <c r="B8" s="72" t="s">
        <v>27</v>
      </c>
      <c r="C8" s="72" t="s">
        <v>398</v>
      </c>
      <c r="D8" s="73">
        <v>100</v>
      </c>
      <c r="E8" s="74">
        <v>100</v>
      </c>
      <c r="F8" s="75">
        <v>4168</v>
      </c>
      <c r="G8" s="75">
        <v>2286</v>
      </c>
      <c r="H8" s="75">
        <v>417</v>
      </c>
      <c r="I8" s="75">
        <v>1222</v>
      </c>
      <c r="J8" s="75">
        <v>2022</v>
      </c>
      <c r="L8" s="15"/>
      <c r="M8" s="15"/>
      <c r="N8" s="15"/>
      <c r="O8" s="15"/>
      <c r="P8" s="15"/>
      <c r="Q8" s="15"/>
    </row>
    <row r="9" spans="1:17" ht="14.25" x14ac:dyDescent="0.2">
      <c r="A9" s="76" t="s">
        <v>28</v>
      </c>
      <c r="B9" s="77" t="s">
        <v>29</v>
      </c>
      <c r="C9" s="77" t="s">
        <v>398</v>
      </c>
      <c r="D9" s="78">
        <v>76.599999999999994</v>
      </c>
      <c r="E9" s="79">
        <v>100</v>
      </c>
      <c r="F9" s="80">
        <v>4168</v>
      </c>
      <c r="G9" s="80">
        <v>0</v>
      </c>
      <c r="H9" s="80">
        <v>417</v>
      </c>
      <c r="I9" s="80">
        <v>1222</v>
      </c>
      <c r="J9" s="80">
        <v>2022</v>
      </c>
      <c r="L9" s="15"/>
      <c r="M9" s="15"/>
      <c r="N9" s="15"/>
      <c r="O9" s="15"/>
      <c r="P9" s="15"/>
      <c r="Q9" s="15"/>
    </row>
    <row r="10" spans="1:17" ht="14.25" x14ac:dyDescent="0.2">
      <c r="A10" s="76" t="s">
        <v>393</v>
      </c>
      <c r="B10" s="77" t="s">
        <v>396</v>
      </c>
      <c r="C10" s="77" t="s">
        <v>29</v>
      </c>
      <c r="D10" s="78">
        <v>102.3</v>
      </c>
      <c r="E10" s="79">
        <v>100</v>
      </c>
      <c r="F10" s="80">
        <v>4168</v>
      </c>
      <c r="G10" s="80">
        <v>15898</v>
      </c>
      <c r="H10" s="80">
        <v>384</v>
      </c>
      <c r="I10" s="80">
        <v>0</v>
      </c>
      <c r="J10" s="80">
        <v>2022</v>
      </c>
      <c r="L10" s="15"/>
      <c r="M10" s="15"/>
      <c r="N10" s="15"/>
      <c r="O10" s="15"/>
      <c r="P10" s="15"/>
      <c r="Q10" s="15"/>
    </row>
    <row r="11" spans="1:17" ht="14.25" x14ac:dyDescent="0.2">
      <c r="A11" s="76" t="s">
        <v>394</v>
      </c>
      <c r="B11" s="77" t="s">
        <v>395</v>
      </c>
      <c r="C11" s="77" t="s">
        <v>34</v>
      </c>
      <c r="D11" s="78">
        <v>73.900000000000006</v>
      </c>
      <c r="E11" s="79">
        <v>88.3</v>
      </c>
      <c r="F11" s="80">
        <v>4168</v>
      </c>
      <c r="G11" s="80">
        <v>15898</v>
      </c>
      <c r="H11" s="80">
        <v>384</v>
      </c>
      <c r="I11" s="80">
        <v>0</v>
      </c>
      <c r="J11" s="80">
        <v>2022</v>
      </c>
      <c r="L11" s="15"/>
      <c r="M11" s="15"/>
      <c r="N11" s="15"/>
      <c r="O11" s="15"/>
      <c r="P11" s="15"/>
      <c r="Q11" s="15"/>
    </row>
    <row r="12" spans="1:17" ht="14.25" x14ac:dyDescent="0.2">
      <c r="A12" s="76" t="s">
        <v>31</v>
      </c>
      <c r="B12" s="77" t="s">
        <v>32</v>
      </c>
      <c r="C12" s="77" t="s">
        <v>398</v>
      </c>
      <c r="D12" s="78">
        <v>74.8</v>
      </c>
      <c r="E12" s="79">
        <v>100</v>
      </c>
      <c r="F12" s="80">
        <v>4168</v>
      </c>
      <c r="G12" s="80">
        <v>0</v>
      </c>
      <c r="H12" s="80">
        <v>417</v>
      </c>
      <c r="I12" s="80">
        <v>0</v>
      </c>
      <c r="J12" s="80">
        <v>2022</v>
      </c>
      <c r="L12" s="15"/>
      <c r="M12" s="15"/>
      <c r="N12" s="15"/>
      <c r="O12" s="15"/>
      <c r="P12" s="15"/>
      <c r="Q12" s="15"/>
    </row>
    <row r="13" spans="1:17" ht="14.25" x14ac:dyDescent="0.2">
      <c r="A13" s="76" t="s">
        <v>33</v>
      </c>
      <c r="B13" s="77" t="s">
        <v>34</v>
      </c>
      <c r="C13" s="77" t="s">
        <v>32</v>
      </c>
      <c r="D13" s="78">
        <v>73.900000000000006</v>
      </c>
      <c r="E13" s="79">
        <v>88.3</v>
      </c>
      <c r="F13" s="80">
        <v>4168</v>
      </c>
      <c r="G13" s="80">
        <v>0</v>
      </c>
      <c r="H13" s="80">
        <v>384</v>
      </c>
      <c r="I13" s="80">
        <v>0</v>
      </c>
      <c r="J13" s="80">
        <v>2022</v>
      </c>
      <c r="L13" s="15"/>
      <c r="M13" s="15"/>
      <c r="N13" s="15"/>
      <c r="O13" s="15"/>
      <c r="P13" s="15"/>
      <c r="Q13" s="15"/>
    </row>
    <row r="14" spans="1:17" ht="14.25" x14ac:dyDescent="0.2">
      <c r="A14" s="76" t="s">
        <v>35</v>
      </c>
      <c r="B14" s="77" t="s">
        <v>36</v>
      </c>
      <c r="C14" s="77" t="s">
        <v>29</v>
      </c>
      <c r="D14" s="78">
        <v>102.8</v>
      </c>
      <c r="E14" s="79">
        <v>100</v>
      </c>
      <c r="F14" s="80">
        <v>15415</v>
      </c>
      <c r="G14" s="80">
        <v>0</v>
      </c>
      <c r="H14" s="80">
        <v>384</v>
      </c>
      <c r="I14" s="80">
        <v>0</v>
      </c>
      <c r="J14" s="80">
        <v>2022</v>
      </c>
      <c r="L14" s="15"/>
      <c r="M14" s="15"/>
      <c r="N14" s="15"/>
      <c r="O14" s="15"/>
      <c r="P14" s="15"/>
      <c r="Q14" s="15"/>
    </row>
    <row r="15" spans="1:17" ht="14.25" x14ac:dyDescent="0.2">
      <c r="A15" s="76" t="s">
        <v>37</v>
      </c>
      <c r="B15" s="77" t="s">
        <v>38</v>
      </c>
      <c r="C15" s="77" t="s">
        <v>30</v>
      </c>
      <c r="D15" s="78">
        <v>102.8</v>
      </c>
      <c r="E15" s="79">
        <v>100</v>
      </c>
      <c r="F15" s="80">
        <v>15828</v>
      </c>
      <c r="G15" s="80">
        <v>0</v>
      </c>
      <c r="H15" s="80">
        <v>384</v>
      </c>
      <c r="I15" s="80">
        <v>0</v>
      </c>
      <c r="J15" s="80">
        <v>2022</v>
      </c>
      <c r="L15" s="15"/>
      <c r="M15" s="15"/>
      <c r="N15" s="15"/>
      <c r="O15" s="15"/>
      <c r="P15" s="15"/>
      <c r="Q15" s="15"/>
    </row>
    <row r="16" spans="1:17" ht="14.25" x14ac:dyDescent="0.2">
      <c r="A16" s="76" t="s">
        <v>39</v>
      </c>
      <c r="B16" s="77" t="s">
        <v>40</v>
      </c>
      <c r="C16" s="77" t="s">
        <v>399</v>
      </c>
      <c r="D16" s="78">
        <v>102.8</v>
      </c>
      <c r="E16" s="79">
        <v>71.5</v>
      </c>
      <c r="F16" s="80">
        <v>8793</v>
      </c>
      <c r="G16" s="80">
        <v>9048</v>
      </c>
      <c r="H16" s="80">
        <v>139</v>
      </c>
      <c r="I16" s="80">
        <v>1222</v>
      </c>
      <c r="J16" s="80">
        <v>2022</v>
      </c>
      <c r="L16" s="15"/>
      <c r="M16" s="15"/>
      <c r="N16" s="15"/>
      <c r="O16" s="15"/>
      <c r="P16" s="15"/>
      <c r="Q16" s="15"/>
    </row>
    <row r="17" spans="1:17" ht="14.25" x14ac:dyDescent="0.2">
      <c r="A17" s="76" t="s">
        <v>41</v>
      </c>
      <c r="B17" s="77" t="s">
        <v>42</v>
      </c>
      <c r="C17" s="77" t="s">
        <v>38</v>
      </c>
      <c r="D17" s="78">
        <v>102.8</v>
      </c>
      <c r="E17" s="79">
        <v>56.5</v>
      </c>
      <c r="F17" s="80">
        <v>8793</v>
      </c>
      <c r="G17" s="80">
        <v>0</v>
      </c>
      <c r="H17" s="80">
        <v>139</v>
      </c>
      <c r="I17" s="80">
        <v>0</v>
      </c>
      <c r="J17" s="80">
        <v>2022</v>
      </c>
      <c r="L17" s="15"/>
      <c r="M17" s="15"/>
      <c r="N17" s="15"/>
      <c r="O17" s="15"/>
      <c r="P17" s="15"/>
      <c r="Q17" s="15"/>
    </row>
    <row r="18" spans="1:17" ht="14.25" x14ac:dyDescent="0.2">
      <c r="A18" s="76" t="s">
        <v>43</v>
      </c>
      <c r="B18" s="77" t="s">
        <v>44</v>
      </c>
      <c r="C18" s="77" t="s">
        <v>36</v>
      </c>
      <c r="D18" s="78">
        <v>31.4</v>
      </c>
      <c r="E18" s="79">
        <v>81.8</v>
      </c>
      <c r="F18" s="80">
        <v>0</v>
      </c>
      <c r="G18" s="80">
        <v>0</v>
      </c>
      <c r="H18" s="80">
        <v>384</v>
      </c>
      <c r="I18" s="80">
        <v>0</v>
      </c>
      <c r="J18" s="80">
        <v>2022</v>
      </c>
      <c r="L18" s="15"/>
      <c r="M18" s="15"/>
      <c r="N18" s="15"/>
      <c r="O18" s="15"/>
      <c r="P18" s="15"/>
      <c r="Q18" s="15"/>
    </row>
    <row r="19" spans="1:17" ht="14.25" x14ac:dyDescent="0.2">
      <c r="A19" s="76" t="s">
        <v>45</v>
      </c>
      <c r="B19" s="77" t="s">
        <v>46</v>
      </c>
      <c r="C19" s="77" t="s">
        <v>40</v>
      </c>
      <c r="D19" s="78">
        <v>24.8</v>
      </c>
      <c r="E19" s="79">
        <v>48.4</v>
      </c>
      <c r="F19" s="80">
        <v>0</v>
      </c>
      <c r="G19" s="80">
        <v>0</v>
      </c>
      <c r="H19" s="80">
        <v>139</v>
      </c>
      <c r="I19" s="80">
        <v>0</v>
      </c>
      <c r="J19" s="80">
        <v>2022</v>
      </c>
      <c r="L19" s="15"/>
      <c r="M19" s="15"/>
      <c r="N19" s="15"/>
      <c r="O19" s="15"/>
      <c r="P19" s="15"/>
      <c r="Q19" s="15"/>
    </row>
    <row r="20" spans="1:17" ht="14.25" x14ac:dyDescent="0.2">
      <c r="A20" s="81" t="s">
        <v>47</v>
      </c>
      <c r="B20" s="82" t="s">
        <v>48</v>
      </c>
      <c r="C20" s="82" t="s">
        <v>398</v>
      </c>
      <c r="D20" s="83">
        <v>32.299999999999997</v>
      </c>
      <c r="E20" s="84">
        <v>100</v>
      </c>
      <c r="F20" s="85">
        <v>0</v>
      </c>
      <c r="G20" s="85">
        <v>0</v>
      </c>
      <c r="H20" s="85">
        <v>417</v>
      </c>
      <c r="I20" s="85">
        <v>0</v>
      </c>
      <c r="J20" s="85">
        <v>2022</v>
      </c>
      <c r="L20" s="15"/>
      <c r="M20" s="15"/>
      <c r="N20" s="15"/>
      <c r="O20" s="15"/>
      <c r="P20" s="15"/>
      <c r="Q20" s="15"/>
    </row>
    <row r="21" spans="1:17" ht="113.25" customHeight="1" x14ac:dyDescent="0.2">
      <c r="A21" s="87" t="s">
        <v>359</v>
      </c>
      <c r="B21" s="329" t="s">
        <v>448</v>
      </c>
      <c r="C21" s="330"/>
      <c r="D21" s="331"/>
      <c r="E21" s="332"/>
      <c r="F21" s="333" t="s">
        <v>372</v>
      </c>
      <c r="G21" s="331"/>
      <c r="H21" s="331"/>
      <c r="I21" s="331"/>
      <c r="J21" s="332"/>
      <c r="K21" s="15"/>
      <c r="L21" s="15"/>
      <c r="M21" s="15"/>
      <c r="N21" s="15"/>
      <c r="O21" s="15"/>
      <c r="P21" s="15"/>
      <c r="Q21" s="15"/>
    </row>
    <row r="22" spans="1:17" ht="14.25" x14ac:dyDescent="0.2">
      <c r="E22" s="15"/>
      <c r="F22" s="15"/>
      <c r="G22" s="15"/>
      <c r="H22" s="15"/>
      <c r="I22" s="15"/>
      <c r="J22" s="15"/>
    </row>
  </sheetData>
  <sheetProtection algorithmName="SHA-512" hashValue="ziwiL0MHQiabiPPINF4mW75pVIZ4kr3z0CR3sLt+gtvXnPaQrfHkXsLte5tFAzSAsrgakoQeTGCG/+cEtJhpIw==" saltValue="bnDnveHQh5W3R9PiIXnI4g==" spinCount="100000" sheet="1" objects="1" scenarios="1"/>
  <mergeCells count="6">
    <mergeCell ref="F5:J5"/>
    <mergeCell ref="D5:E6"/>
    <mergeCell ref="B21:E21"/>
    <mergeCell ref="F21:J21"/>
    <mergeCell ref="A5:A7"/>
    <mergeCell ref="B5:C6"/>
  </mergeCells>
  <hyperlinks>
    <hyperlink ref="A2" location="Welcome!A1" display="Return to 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24"/>
  <sheetViews>
    <sheetView showGridLines="0" zoomScaleNormal="100" workbookViewId="0">
      <pane ySplit="4" topLeftCell="A5" activePane="bottomLeft" state="frozen"/>
      <selection pane="bottomLeft" activeCell="D10" sqref="D10:P10"/>
    </sheetView>
  </sheetViews>
  <sheetFormatPr defaultRowHeight="14.25" x14ac:dyDescent="0.2"/>
  <cols>
    <col min="1" max="1" width="9.140625" style="21"/>
    <col min="2" max="3" width="12.28515625" style="21" customWidth="1"/>
    <col min="4" max="16384" width="9.140625" style="21"/>
  </cols>
  <sheetData>
    <row r="1" spans="1:16" ht="18" x14ac:dyDescent="0.25">
      <c r="A1" s="1" t="s">
        <v>7</v>
      </c>
    </row>
    <row r="2" spans="1:16" x14ac:dyDescent="0.2">
      <c r="A2" s="21" t="s">
        <v>14</v>
      </c>
    </row>
    <row r="4" spans="1:16" ht="42.75" x14ac:dyDescent="0.2">
      <c r="A4" s="14" t="s">
        <v>7</v>
      </c>
      <c r="B4" s="13" t="s">
        <v>10</v>
      </c>
      <c r="C4" s="13" t="s">
        <v>8</v>
      </c>
      <c r="D4" s="341" t="s">
        <v>9</v>
      </c>
      <c r="E4" s="342"/>
      <c r="F4" s="342"/>
      <c r="G4" s="342"/>
      <c r="H4" s="342"/>
      <c r="I4" s="342"/>
      <c r="J4" s="342"/>
      <c r="K4" s="342"/>
      <c r="L4" s="342"/>
      <c r="M4" s="342"/>
      <c r="N4" s="342"/>
      <c r="O4" s="342"/>
      <c r="P4" s="343"/>
    </row>
    <row r="5" spans="1:16" s="17" customFormat="1" ht="18.75" customHeight="1" x14ac:dyDescent="0.2">
      <c r="A5" s="88">
        <v>17</v>
      </c>
      <c r="B5" s="89">
        <v>44398</v>
      </c>
      <c r="C5" s="91">
        <v>44378</v>
      </c>
      <c r="D5" s="344" t="s">
        <v>444</v>
      </c>
      <c r="E5" s="345"/>
      <c r="F5" s="345"/>
      <c r="G5" s="345"/>
      <c r="H5" s="345"/>
      <c r="I5" s="345"/>
      <c r="J5" s="345"/>
      <c r="K5" s="345"/>
      <c r="L5" s="345"/>
      <c r="M5" s="345"/>
      <c r="N5" s="345"/>
      <c r="O5" s="345"/>
      <c r="P5" s="345"/>
    </row>
    <row r="6" spans="1:16" s="17" customFormat="1" ht="15" customHeight="1" x14ac:dyDescent="0.2">
      <c r="A6" s="90">
        <v>17.100000000000001</v>
      </c>
      <c r="B6" s="91">
        <v>44434</v>
      </c>
      <c r="C6" s="91">
        <v>44378</v>
      </c>
      <c r="D6" s="339" t="s">
        <v>458</v>
      </c>
      <c r="E6" s="340"/>
      <c r="F6" s="340"/>
      <c r="G6" s="340"/>
      <c r="H6" s="340"/>
      <c r="I6" s="340"/>
      <c r="J6" s="340"/>
      <c r="K6" s="340"/>
      <c r="L6" s="340"/>
      <c r="M6" s="340"/>
      <c r="N6" s="340"/>
      <c r="O6" s="340"/>
      <c r="P6" s="340"/>
    </row>
    <row r="7" spans="1:16" s="17" customFormat="1" ht="15" customHeight="1" x14ac:dyDescent="0.2">
      <c r="A7" s="90">
        <v>17.2</v>
      </c>
      <c r="B7" s="91">
        <v>44904</v>
      </c>
      <c r="C7" s="91">
        <v>44378</v>
      </c>
      <c r="D7" s="339" t="s">
        <v>466</v>
      </c>
      <c r="E7" s="340"/>
      <c r="F7" s="340"/>
      <c r="G7" s="340"/>
      <c r="H7" s="340"/>
      <c r="I7" s="340"/>
      <c r="J7" s="340"/>
      <c r="K7" s="340"/>
      <c r="L7" s="340"/>
      <c r="M7" s="340"/>
      <c r="N7" s="340"/>
      <c r="O7" s="340"/>
      <c r="P7" s="340"/>
    </row>
    <row r="8" spans="1:16" s="17" customFormat="1" ht="30" customHeight="1" x14ac:dyDescent="0.2">
      <c r="A8" s="90">
        <v>17.3</v>
      </c>
      <c r="B8" s="91">
        <v>44909</v>
      </c>
      <c r="C8" s="227"/>
      <c r="D8" s="339" t="s">
        <v>475</v>
      </c>
      <c r="E8" s="340"/>
      <c r="F8" s="340"/>
      <c r="G8" s="340"/>
      <c r="H8" s="340"/>
      <c r="I8" s="340"/>
      <c r="J8" s="340"/>
      <c r="K8" s="340"/>
      <c r="L8" s="340"/>
      <c r="M8" s="340"/>
      <c r="N8" s="340"/>
      <c r="O8" s="340"/>
      <c r="P8" s="340"/>
    </row>
    <row r="9" spans="1:16" s="17" customFormat="1" ht="12.75" customHeight="1" x14ac:dyDescent="0.2">
      <c r="A9" s="90">
        <v>17.399999999999999</v>
      </c>
      <c r="B9" s="91">
        <v>45142</v>
      </c>
      <c r="C9" s="93"/>
      <c r="D9" s="339" t="s">
        <v>477</v>
      </c>
      <c r="E9" s="340"/>
      <c r="F9" s="340"/>
      <c r="G9" s="340"/>
      <c r="H9" s="340"/>
      <c r="I9" s="340"/>
      <c r="J9" s="340"/>
      <c r="K9" s="340"/>
      <c r="L9" s="340"/>
      <c r="M9" s="340"/>
      <c r="N9" s="340"/>
      <c r="O9" s="340"/>
      <c r="P9" s="340"/>
    </row>
    <row r="10" spans="1:16" s="17" customFormat="1" ht="12.75" customHeight="1" x14ac:dyDescent="0.2">
      <c r="A10" s="90"/>
      <c r="B10" s="91"/>
      <c r="C10" s="92"/>
      <c r="D10" s="339"/>
      <c r="E10" s="340"/>
      <c r="F10" s="340"/>
      <c r="G10" s="340"/>
      <c r="H10" s="340"/>
      <c r="I10" s="340"/>
      <c r="J10" s="340"/>
      <c r="K10" s="340"/>
      <c r="L10" s="340"/>
      <c r="M10" s="340"/>
      <c r="N10" s="340"/>
      <c r="O10" s="340"/>
      <c r="P10" s="340"/>
    </row>
    <row r="11" spans="1:16" s="17" customFormat="1" ht="12.75" customHeight="1" x14ac:dyDescent="0.2">
      <c r="A11" s="90"/>
      <c r="B11" s="91"/>
      <c r="C11" s="91"/>
      <c r="D11" s="339"/>
      <c r="E11" s="340"/>
      <c r="F11" s="340"/>
      <c r="G11" s="340"/>
      <c r="H11" s="340"/>
      <c r="I11" s="340"/>
      <c r="J11" s="340"/>
      <c r="K11" s="340"/>
      <c r="L11" s="340"/>
      <c r="M11" s="340"/>
      <c r="N11" s="340"/>
      <c r="O11" s="340"/>
      <c r="P11" s="340"/>
    </row>
    <row r="12" spans="1:16" s="17" customFormat="1" ht="12.75" customHeight="1" x14ac:dyDescent="0.2">
      <c r="A12" s="96"/>
      <c r="B12" s="91"/>
      <c r="C12" s="91"/>
      <c r="D12" s="339"/>
      <c r="E12" s="340"/>
      <c r="F12" s="340"/>
      <c r="G12" s="340"/>
      <c r="H12" s="340"/>
      <c r="I12" s="340"/>
      <c r="J12" s="340"/>
      <c r="K12" s="340"/>
      <c r="L12" s="340"/>
      <c r="M12" s="340"/>
      <c r="N12" s="340"/>
      <c r="O12" s="340"/>
      <c r="P12" s="340"/>
    </row>
    <row r="13" spans="1:16" s="17" customFormat="1" ht="12.75" customHeight="1" x14ac:dyDescent="0.2">
      <c r="A13" s="90"/>
      <c r="B13" s="91"/>
      <c r="C13" s="91"/>
      <c r="D13" s="339"/>
      <c r="E13" s="340"/>
      <c r="F13" s="340"/>
      <c r="G13" s="340"/>
      <c r="H13" s="340"/>
      <c r="I13" s="340"/>
      <c r="J13" s="340"/>
      <c r="K13" s="340"/>
      <c r="L13" s="340"/>
      <c r="M13" s="340"/>
      <c r="N13" s="340"/>
      <c r="O13" s="340"/>
      <c r="P13" s="340"/>
    </row>
    <row r="14" spans="1:16" s="17" customFormat="1" ht="12.75" customHeight="1" x14ac:dyDescent="0.2">
      <c r="A14" s="90"/>
      <c r="B14" s="91"/>
      <c r="C14" s="91"/>
      <c r="D14" s="339"/>
      <c r="E14" s="340"/>
      <c r="F14" s="340"/>
      <c r="G14" s="340"/>
      <c r="H14" s="340"/>
      <c r="I14" s="340"/>
      <c r="J14" s="340"/>
      <c r="K14" s="340"/>
      <c r="L14" s="340"/>
      <c r="M14" s="340"/>
      <c r="N14" s="340"/>
      <c r="O14" s="340"/>
      <c r="P14" s="340"/>
    </row>
    <row r="15" spans="1:16" s="17" customFormat="1" ht="12.75" customHeight="1" x14ac:dyDescent="0.2">
      <c r="A15" s="90"/>
      <c r="B15" s="91"/>
      <c r="C15" s="91"/>
      <c r="D15" s="339"/>
      <c r="E15" s="340"/>
      <c r="F15" s="340"/>
      <c r="G15" s="340"/>
      <c r="H15" s="340"/>
      <c r="I15" s="340"/>
      <c r="J15" s="340"/>
      <c r="K15" s="340"/>
      <c r="L15" s="340"/>
      <c r="M15" s="340"/>
      <c r="N15" s="340"/>
      <c r="O15" s="340"/>
      <c r="P15" s="340"/>
    </row>
    <row r="16" spans="1:16" s="17" customFormat="1" ht="12.75" customHeight="1" x14ac:dyDescent="0.2">
      <c r="A16" s="90"/>
      <c r="B16" s="91"/>
      <c r="C16" s="91"/>
      <c r="D16" s="339"/>
      <c r="E16" s="340"/>
      <c r="F16" s="340"/>
      <c r="G16" s="340"/>
      <c r="H16" s="340"/>
      <c r="I16" s="340"/>
      <c r="J16" s="340"/>
      <c r="K16" s="340"/>
      <c r="L16" s="340"/>
      <c r="M16" s="340"/>
      <c r="N16" s="340"/>
      <c r="O16" s="340"/>
      <c r="P16" s="340"/>
    </row>
    <row r="17" spans="1:16" s="17" customFormat="1" ht="12.75" customHeight="1" x14ac:dyDescent="0.2">
      <c r="A17" s="90"/>
      <c r="B17" s="91"/>
      <c r="C17" s="91"/>
      <c r="D17" s="339"/>
      <c r="E17" s="340"/>
      <c r="F17" s="340"/>
      <c r="G17" s="340"/>
      <c r="H17" s="340"/>
      <c r="I17" s="340"/>
      <c r="J17" s="340"/>
      <c r="K17" s="340"/>
      <c r="L17" s="340"/>
      <c r="M17" s="340"/>
      <c r="N17" s="340"/>
      <c r="O17" s="340"/>
      <c r="P17" s="340"/>
    </row>
    <row r="18" spans="1:16" s="17" customFormat="1" ht="12.75" customHeight="1" x14ac:dyDescent="0.2">
      <c r="A18" s="90"/>
      <c r="B18" s="91"/>
      <c r="C18" s="91"/>
      <c r="D18" s="339"/>
      <c r="E18" s="340"/>
      <c r="F18" s="340"/>
      <c r="G18" s="340"/>
      <c r="H18" s="340"/>
      <c r="I18" s="340"/>
      <c r="J18" s="340"/>
      <c r="K18" s="340"/>
      <c r="L18" s="340"/>
      <c r="M18" s="340"/>
      <c r="N18" s="340"/>
      <c r="O18" s="340"/>
      <c r="P18" s="340"/>
    </row>
    <row r="19" spans="1:16" s="17" customFormat="1" ht="12.75" customHeight="1" x14ac:dyDescent="0.2">
      <c r="A19" s="90"/>
      <c r="B19" s="91"/>
      <c r="C19" s="91"/>
      <c r="D19" s="339"/>
      <c r="E19" s="340"/>
      <c r="F19" s="340"/>
      <c r="G19" s="340"/>
      <c r="H19" s="340"/>
      <c r="I19" s="340"/>
      <c r="J19" s="340"/>
      <c r="K19" s="340"/>
      <c r="L19" s="340"/>
      <c r="M19" s="340"/>
      <c r="N19" s="340"/>
      <c r="O19" s="340"/>
      <c r="P19" s="340"/>
    </row>
    <row r="20" spans="1:16" s="17" customFormat="1" x14ac:dyDescent="0.2">
      <c r="A20" s="90"/>
      <c r="B20" s="91"/>
      <c r="C20" s="91"/>
      <c r="D20" s="339"/>
      <c r="E20" s="340"/>
      <c r="F20" s="340"/>
      <c r="G20" s="340"/>
      <c r="H20" s="340"/>
      <c r="I20" s="340"/>
      <c r="J20" s="340"/>
      <c r="K20" s="340"/>
      <c r="L20" s="340"/>
      <c r="M20" s="340"/>
      <c r="N20" s="340"/>
      <c r="O20" s="340"/>
      <c r="P20" s="340"/>
    </row>
    <row r="21" spans="1:16" s="17" customFormat="1" x14ac:dyDescent="0.2">
      <c r="A21" s="90"/>
      <c r="B21" s="91"/>
      <c r="C21" s="91"/>
      <c r="D21" s="339"/>
      <c r="E21" s="340"/>
      <c r="F21" s="340"/>
      <c r="G21" s="340"/>
      <c r="H21" s="340"/>
      <c r="I21" s="340"/>
      <c r="J21" s="340"/>
      <c r="K21" s="340"/>
      <c r="L21" s="340"/>
      <c r="M21" s="340"/>
      <c r="N21" s="340"/>
      <c r="O21" s="340"/>
      <c r="P21" s="340"/>
    </row>
    <row r="22" spans="1:16" x14ac:dyDescent="0.2">
      <c r="A22" s="90"/>
      <c r="B22" s="91"/>
      <c r="C22" s="91"/>
      <c r="D22" s="339"/>
      <c r="E22" s="340"/>
      <c r="F22" s="340"/>
      <c r="G22" s="340"/>
      <c r="H22" s="340"/>
      <c r="I22" s="340"/>
      <c r="J22" s="340"/>
      <c r="K22" s="340"/>
      <c r="L22" s="340"/>
      <c r="M22" s="340"/>
      <c r="N22" s="340"/>
      <c r="O22" s="340"/>
      <c r="P22" s="340"/>
    </row>
    <row r="23" spans="1:16" x14ac:dyDescent="0.2">
      <c r="A23" s="90"/>
      <c r="B23" s="91"/>
      <c r="C23" s="91"/>
      <c r="D23" s="339"/>
      <c r="E23" s="340"/>
      <c r="F23" s="340"/>
      <c r="G23" s="340"/>
      <c r="H23" s="340"/>
      <c r="I23" s="340"/>
      <c r="J23" s="340"/>
      <c r="K23" s="340"/>
      <c r="L23" s="340"/>
      <c r="M23" s="340"/>
      <c r="N23" s="340"/>
      <c r="O23" s="340"/>
      <c r="P23" s="340"/>
    </row>
    <row r="24" spans="1:16" x14ac:dyDescent="0.2">
      <c r="A24" s="94"/>
      <c r="B24" s="95"/>
      <c r="C24" s="95"/>
      <c r="D24" s="337"/>
      <c r="E24" s="338"/>
      <c r="F24" s="338"/>
      <c r="G24" s="338"/>
      <c r="H24" s="338"/>
      <c r="I24" s="338"/>
      <c r="J24" s="338"/>
      <c r="K24" s="338"/>
      <c r="L24" s="338"/>
      <c r="M24" s="338"/>
      <c r="N24" s="338"/>
      <c r="O24" s="338"/>
      <c r="P24" s="338"/>
    </row>
  </sheetData>
  <sheetProtection algorithmName="SHA-512" hashValue="MRZQF2jPmZFiViHDh7OeF89rZ9z8Vz2TdKOHa4GP6ZlEu+mr+lsuqL3szKGIrgme59mS8r2fOKDEeMOm0pBMlw==" saltValue="olciPovCXd+45CxpeufP3g==" spinCount="100000" sheet="1" objects="1" scenarios="1"/>
  <mergeCells count="21">
    <mergeCell ref="D4:P4"/>
    <mergeCell ref="D15:P15"/>
    <mergeCell ref="D10:P10"/>
    <mergeCell ref="D14:P14"/>
    <mergeCell ref="D11:P11"/>
    <mergeCell ref="D9:P9"/>
    <mergeCell ref="D12:P12"/>
    <mergeCell ref="D13:P13"/>
    <mergeCell ref="D5:P5"/>
    <mergeCell ref="D6:P6"/>
    <mergeCell ref="D7:P7"/>
    <mergeCell ref="D8:P8"/>
    <mergeCell ref="D24:P24"/>
    <mergeCell ref="D16:P16"/>
    <mergeCell ref="D17:P17"/>
    <mergeCell ref="D18:P18"/>
    <mergeCell ref="D23:P23"/>
    <mergeCell ref="D21:P21"/>
    <mergeCell ref="D19:P19"/>
    <mergeCell ref="D20:P20"/>
    <mergeCell ref="D22:P22"/>
  </mergeCells>
  <phoneticPr fontId="6" type="noConversion"/>
  <hyperlinks>
    <hyperlink ref="A2" location="Welcome!A1" display="Return to index" xr:uid="{00000000-0004-0000-0500-000000000000}"/>
  </hyperlinks>
  <pageMargins left="0.75" right="0.75" top="1" bottom="1" header="0.5" footer="0.5"/>
  <pageSetup paperSize="9" scale="86"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95"/>
  <sheetViews>
    <sheetView zoomScale="90" zoomScaleNormal="90" workbookViewId="0">
      <pane xSplit="3" ySplit="9" topLeftCell="D10" activePane="bottomRight" state="frozen"/>
      <selection pane="topRight" activeCell="D1" sqref="D1"/>
      <selection pane="bottomLeft" activeCell="A6" sqref="A6"/>
      <selection pane="bottomRight" activeCell="D18" sqref="D18"/>
    </sheetView>
  </sheetViews>
  <sheetFormatPr defaultRowHeight="12.75" outlineLevelCol="1" x14ac:dyDescent="0.2"/>
  <cols>
    <col min="1" max="1" width="86.28515625" style="136" customWidth="1"/>
    <col min="2" max="2" width="12.42578125" style="154" customWidth="1"/>
    <col min="3" max="3" width="22.42578125" style="155" customWidth="1"/>
    <col min="4" max="4" width="63" style="136" customWidth="1" outlineLevel="1"/>
    <col min="5" max="5" width="15.28515625" style="138" customWidth="1" outlineLevel="1"/>
    <col min="6" max="6" width="16.42578125" style="138" customWidth="1" outlineLevel="1"/>
    <col min="7" max="7" width="30.42578125" style="136" customWidth="1" outlineLevel="1"/>
    <col min="8" max="8" width="12.85546875" style="136" customWidth="1" outlineLevel="1"/>
    <col min="9" max="9" width="5.28515625" style="136" customWidth="1"/>
    <col min="10" max="10" width="49.28515625" style="136" hidden="1" customWidth="1" outlineLevel="1"/>
    <col min="11" max="11" width="19.28515625" style="136" hidden="1" customWidth="1" outlineLevel="1"/>
    <col min="12" max="12" width="10.7109375" style="136" hidden="1" customWidth="1" outlineLevel="1"/>
    <col min="13" max="13" width="12.42578125" style="136" hidden="1" customWidth="1" outlineLevel="1"/>
    <col min="14" max="14" width="13.7109375" style="136" hidden="1" customWidth="1" outlineLevel="1"/>
    <col min="15" max="15" width="13.140625" style="136" hidden="1" customWidth="1" outlineLevel="1"/>
    <col min="16" max="16" width="12.5703125" style="136" hidden="1" customWidth="1" outlineLevel="1"/>
    <col min="17" max="17" width="12.28515625" style="162" hidden="1" customWidth="1" outlineLevel="1"/>
    <col min="18" max="18" width="9.140625" style="136" hidden="1" customWidth="1" outlineLevel="1"/>
    <col min="19" max="19" width="22.42578125" style="136" hidden="1" customWidth="1" outlineLevel="1"/>
    <col min="20" max="20" width="3.28515625" style="136" customWidth="1" collapsed="1"/>
    <col min="21" max="21" width="18.7109375" style="136" customWidth="1"/>
    <col min="22" max="25" width="9.140625" style="136"/>
    <col min="26" max="46" width="9.140625" style="221"/>
    <col min="47" max="47" width="9.140625" style="136"/>
    <col min="48" max="48" width="11.140625" style="232" bestFit="1" customWidth="1"/>
    <col min="49" max="49" width="9.140625" style="233"/>
    <col min="50" max="16384" width="9.140625" style="136"/>
  </cols>
  <sheetData>
    <row r="1" spans="1:49" ht="35.25" customHeight="1" x14ac:dyDescent="0.2">
      <c r="A1" s="130" t="s">
        <v>94</v>
      </c>
      <c r="B1" s="131"/>
      <c r="C1" s="132"/>
      <c r="D1" s="133"/>
      <c r="E1" s="134"/>
      <c r="F1" s="134"/>
      <c r="G1" s="133"/>
      <c r="I1" s="135" t="s">
        <v>358</v>
      </c>
      <c r="T1" s="135" t="s">
        <v>357</v>
      </c>
    </row>
    <row r="2" spans="1:49" ht="14.25" x14ac:dyDescent="0.2">
      <c r="A2" s="137" t="s">
        <v>14</v>
      </c>
      <c r="B2" s="131"/>
      <c r="C2" s="132"/>
      <c r="D2" s="133"/>
      <c r="E2" s="134"/>
      <c r="I2" s="135"/>
    </row>
    <row r="3" spans="1:49" ht="14.25" x14ac:dyDescent="0.2">
      <c r="A3" s="133"/>
      <c r="B3" s="131"/>
      <c r="C3" s="132"/>
      <c r="D3" s="133"/>
      <c r="E3" s="134"/>
      <c r="I3" s="135"/>
      <c r="J3" s="139" t="s">
        <v>443</v>
      </c>
    </row>
    <row r="4" spans="1:49" ht="14.25" customHeight="1" x14ac:dyDescent="0.2">
      <c r="A4" s="139" t="s">
        <v>467</v>
      </c>
      <c r="B4" s="131"/>
      <c r="C4" s="132"/>
      <c r="D4" s="250"/>
      <c r="E4" s="251" t="s">
        <v>471</v>
      </c>
      <c r="F4" s="251" t="s">
        <v>472</v>
      </c>
      <c r="I4" s="135"/>
      <c r="J4" s="349" t="s">
        <v>274</v>
      </c>
      <c r="K4" s="349" t="s">
        <v>0</v>
      </c>
      <c r="L4" s="352" t="s">
        <v>275</v>
      </c>
      <c r="M4" s="353"/>
      <c r="N4" s="352" t="s">
        <v>276</v>
      </c>
      <c r="O4" s="353"/>
      <c r="P4" s="167" t="s">
        <v>277</v>
      </c>
      <c r="Q4" s="354" t="s">
        <v>278</v>
      </c>
      <c r="R4" s="357" t="s">
        <v>279</v>
      </c>
      <c r="S4" s="346" t="s">
        <v>56</v>
      </c>
      <c r="Z4" s="139" t="s">
        <v>409</v>
      </c>
    </row>
    <row r="5" spans="1:49" ht="14.25" customHeight="1" x14ac:dyDescent="0.2">
      <c r="A5" s="139"/>
      <c r="B5" s="131"/>
      <c r="C5" s="132"/>
      <c r="D5" s="250" t="s">
        <v>73</v>
      </c>
      <c r="E5" s="229">
        <v>44348</v>
      </c>
      <c r="F5" s="229">
        <f>+Calculation!P12</f>
        <v>44348</v>
      </c>
      <c r="I5" s="135"/>
      <c r="J5" s="350"/>
      <c r="K5" s="350"/>
      <c r="L5" s="167"/>
      <c r="M5" s="226"/>
      <c r="N5" s="167"/>
      <c r="O5" s="226"/>
      <c r="P5" s="167"/>
      <c r="Q5" s="355"/>
      <c r="R5" s="358"/>
      <c r="S5" s="347"/>
      <c r="Z5" s="139"/>
    </row>
    <row r="6" spans="1:49" ht="14.25" customHeight="1" x14ac:dyDescent="0.2">
      <c r="A6" s="139"/>
      <c r="B6" s="131"/>
      <c r="C6" s="132"/>
      <c r="D6" s="250" t="s">
        <v>371</v>
      </c>
      <c r="E6" s="228">
        <v>137.69999999999999</v>
      </c>
      <c r="F6" s="228">
        <v>137.69999999999999</v>
      </c>
      <c r="I6" s="135"/>
      <c r="J6" s="350"/>
      <c r="K6" s="350"/>
      <c r="L6" s="167"/>
      <c r="M6" s="226"/>
      <c r="N6" s="167"/>
      <c r="O6" s="226"/>
      <c r="P6" s="167"/>
      <c r="Q6" s="355"/>
      <c r="R6" s="358"/>
      <c r="S6" s="347"/>
      <c r="Z6" s="139"/>
    </row>
    <row r="7" spans="1:49" ht="14.25" customHeight="1" x14ac:dyDescent="0.2">
      <c r="A7" s="139"/>
      <c r="B7" s="131"/>
      <c r="C7" s="132"/>
      <c r="D7" s="133"/>
      <c r="E7" s="136"/>
      <c r="F7" s="136"/>
      <c r="I7" s="135"/>
      <c r="J7" s="350"/>
      <c r="K7" s="350"/>
      <c r="L7" s="167"/>
      <c r="M7" s="226"/>
      <c r="N7" s="167"/>
      <c r="O7" s="226"/>
      <c r="P7" s="167"/>
      <c r="Q7" s="355"/>
      <c r="R7" s="358"/>
      <c r="S7" s="347"/>
      <c r="Z7" s="139"/>
    </row>
    <row r="8" spans="1:49" ht="14.25" customHeight="1" x14ac:dyDescent="0.2">
      <c r="A8" s="139"/>
      <c r="B8" s="131"/>
      <c r="C8" s="132"/>
      <c r="D8" s="133"/>
      <c r="E8" s="136"/>
      <c r="F8" s="136"/>
      <c r="I8" s="135"/>
      <c r="J8" s="350"/>
      <c r="K8" s="350"/>
      <c r="L8" s="167"/>
      <c r="M8" s="226"/>
      <c r="N8" s="167"/>
      <c r="O8" s="226"/>
      <c r="P8" s="167"/>
      <c r="Q8" s="355"/>
      <c r="R8" s="358"/>
      <c r="S8" s="347"/>
      <c r="Z8" s="139"/>
    </row>
    <row r="9" spans="1:49" ht="71.25" x14ac:dyDescent="0.2">
      <c r="A9" s="156" t="s">
        <v>95</v>
      </c>
      <c r="B9" s="157" t="s">
        <v>447</v>
      </c>
      <c r="C9" s="156" t="s">
        <v>0</v>
      </c>
      <c r="D9" s="156" t="s">
        <v>468</v>
      </c>
      <c r="E9" s="157" t="s">
        <v>469</v>
      </c>
      <c r="F9" s="157" t="s">
        <v>470</v>
      </c>
      <c r="G9" s="156" t="s">
        <v>82</v>
      </c>
      <c r="H9" s="156" t="s">
        <v>392</v>
      </c>
      <c r="I9" s="135"/>
      <c r="J9" s="351"/>
      <c r="K9" s="351"/>
      <c r="L9" s="168" t="s">
        <v>280</v>
      </c>
      <c r="M9" s="168" t="s">
        <v>281</v>
      </c>
      <c r="N9" s="168" t="s">
        <v>280</v>
      </c>
      <c r="O9" s="168" t="s">
        <v>281</v>
      </c>
      <c r="P9" s="168" t="s">
        <v>281</v>
      </c>
      <c r="Q9" s="356"/>
      <c r="R9" s="359"/>
      <c r="S9" s="348"/>
      <c r="U9" s="139" t="s">
        <v>356</v>
      </c>
      <c r="Z9" s="157" t="s">
        <v>411</v>
      </c>
      <c r="AA9" s="157" t="s">
        <v>412</v>
      </c>
      <c r="AB9" s="157" t="s">
        <v>413</v>
      </c>
      <c r="AC9" s="157" t="s">
        <v>414</v>
      </c>
      <c r="AD9" s="157" t="s">
        <v>415</v>
      </c>
      <c r="AE9" s="157" t="s">
        <v>416</v>
      </c>
      <c r="AF9" s="157" t="s">
        <v>417</v>
      </c>
      <c r="AG9" s="157" t="s">
        <v>418</v>
      </c>
      <c r="AH9" s="157" t="s">
        <v>419</v>
      </c>
      <c r="AI9" s="157" t="s">
        <v>420</v>
      </c>
      <c r="AJ9" s="157" t="s">
        <v>421</v>
      </c>
      <c r="AK9" s="157" t="s">
        <v>422</v>
      </c>
      <c r="AL9" s="157" t="s">
        <v>423</v>
      </c>
      <c r="AM9" s="157" t="s">
        <v>424</v>
      </c>
      <c r="AN9" s="157" t="s">
        <v>425</v>
      </c>
      <c r="AO9" s="157" t="s">
        <v>426</v>
      </c>
      <c r="AP9" s="157" t="s">
        <v>427</v>
      </c>
      <c r="AQ9" s="157" t="s">
        <v>428</v>
      </c>
      <c r="AR9" s="157" t="s">
        <v>429</v>
      </c>
      <c r="AS9" s="157" t="s">
        <v>430</v>
      </c>
      <c r="AT9" s="157" t="s">
        <v>431</v>
      </c>
      <c r="AU9" s="157" t="s">
        <v>99</v>
      </c>
    </row>
    <row r="10" spans="1:49" ht="14.25" x14ac:dyDescent="0.2">
      <c r="A10" s="140"/>
      <c r="B10" s="141"/>
      <c r="C10" s="140"/>
      <c r="D10" s="140"/>
      <c r="E10" s="141"/>
      <c r="F10" s="158"/>
      <c r="G10" s="140" t="s">
        <v>87</v>
      </c>
      <c r="H10" s="169"/>
      <c r="I10" s="135"/>
      <c r="J10" s="142" t="s">
        <v>282</v>
      </c>
      <c r="K10" s="142">
        <v>0</v>
      </c>
      <c r="L10" s="143">
        <v>0</v>
      </c>
      <c r="M10" s="143">
        <v>0</v>
      </c>
      <c r="N10" s="143">
        <v>0</v>
      </c>
      <c r="O10" s="143">
        <v>0</v>
      </c>
      <c r="P10" s="143">
        <v>0</v>
      </c>
      <c r="Q10" s="163">
        <v>0</v>
      </c>
      <c r="R10" s="143">
        <v>0</v>
      </c>
      <c r="S10" s="14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row>
    <row r="11" spans="1:49" ht="14.25" x14ac:dyDescent="0.2">
      <c r="A11" s="144" t="s">
        <v>96</v>
      </c>
      <c r="B11" s="145">
        <v>194.87</v>
      </c>
      <c r="C11" s="144" t="s">
        <v>283</v>
      </c>
      <c r="D11" s="144" t="s">
        <v>98</v>
      </c>
      <c r="E11" s="145">
        <v>197.2</v>
      </c>
      <c r="F11" s="129">
        <f t="shared" ref="F11:F48" si="0">IF(E11="FPA","FPA",E11*$F$6/$E$6)</f>
        <v>197.2</v>
      </c>
      <c r="G11" s="144" t="s">
        <v>99</v>
      </c>
      <c r="H11" s="170">
        <f t="shared" ref="H11:H48" si="1">+IF(B11="FPA",0,IF(B11&gt;F11,1,0))</f>
        <v>0</v>
      </c>
      <c r="I11" s="135"/>
      <c r="J11" s="146" t="s">
        <v>96</v>
      </c>
      <c r="K11" s="146" t="s">
        <v>283</v>
      </c>
      <c r="L11" s="147">
        <v>0</v>
      </c>
      <c r="M11" s="147">
        <v>1.35</v>
      </c>
      <c r="N11" s="147">
        <v>0</v>
      </c>
      <c r="O11" s="147">
        <v>0.85</v>
      </c>
      <c r="P11" s="147">
        <v>0.48</v>
      </c>
      <c r="Q11" s="164">
        <v>2.1999999999999999E-2</v>
      </c>
      <c r="R11" s="147">
        <v>0</v>
      </c>
      <c r="S11" s="146"/>
      <c r="U11" s="136" t="s">
        <v>339</v>
      </c>
      <c r="V11" s="142">
        <v>600</v>
      </c>
      <c r="W11" s="136" t="s">
        <v>338</v>
      </c>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32">
        <f>B11*102.8/100</f>
        <v>200.32635999999999</v>
      </c>
      <c r="AW11" s="233">
        <f>AV11/E11</f>
        <v>1.0158537525354969</v>
      </c>
    </row>
    <row r="12" spans="1:49" ht="14.25" x14ac:dyDescent="0.2">
      <c r="A12" s="144" t="s">
        <v>100</v>
      </c>
      <c r="B12" s="145">
        <v>66.77</v>
      </c>
      <c r="C12" s="144" t="s">
        <v>283</v>
      </c>
      <c r="D12" s="144" t="s">
        <v>101</v>
      </c>
      <c r="E12" s="145">
        <v>153.4</v>
      </c>
      <c r="F12" s="129">
        <f t="shared" si="0"/>
        <v>153.4</v>
      </c>
      <c r="G12" s="144" t="s">
        <v>99</v>
      </c>
      <c r="H12" s="170">
        <f t="shared" si="1"/>
        <v>0</v>
      </c>
      <c r="I12" s="135"/>
      <c r="J12" s="146" t="s">
        <v>100</v>
      </c>
      <c r="K12" s="146" t="s">
        <v>283</v>
      </c>
      <c r="L12" s="147">
        <v>0</v>
      </c>
      <c r="M12" s="147">
        <v>0.56999999999999995</v>
      </c>
      <c r="N12" s="147">
        <v>0</v>
      </c>
      <c r="O12" s="147">
        <v>0.28999999999999998</v>
      </c>
      <c r="P12" s="147">
        <v>0.13</v>
      </c>
      <c r="Q12" s="164">
        <v>0</v>
      </c>
      <c r="R12" s="147">
        <v>0</v>
      </c>
      <c r="S12" s="146"/>
      <c r="U12" s="136" t="s">
        <v>340</v>
      </c>
      <c r="V12" s="148">
        <v>230</v>
      </c>
      <c r="W12" s="136" t="s">
        <v>338</v>
      </c>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32">
        <f t="shared" ref="AV12:AV81" si="2">B12*102.8/100</f>
        <v>68.639559999999989</v>
      </c>
      <c r="AW12" s="233">
        <f t="shared" ref="AW12:AW81" si="3">AV12/E12</f>
        <v>0.44745475880052143</v>
      </c>
    </row>
    <row r="13" spans="1:49" ht="14.25" x14ac:dyDescent="0.2">
      <c r="A13" s="144" t="s">
        <v>102</v>
      </c>
      <c r="B13" s="145" t="s">
        <v>85</v>
      </c>
      <c r="C13" s="144"/>
      <c r="D13" s="144" t="s">
        <v>103</v>
      </c>
      <c r="E13" s="145" t="s">
        <v>85</v>
      </c>
      <c r="F13" s="129" t="str">
        <f t="shared" si="0"/>
        <v>FPA</v>
      </c>
      <c r="G13" s="144" t="s">
        <v>99</v>
      </c>
      <c r="H13" s="170">
        <f t="shared" si="1"/>
        <v>0</v>
      </c>
      <c r="I13" s="135"/>
      <c r="J13" s="146" t="s">
        <v>102</v>
      </c>
      <c r="K13" s="146" t="s">
        <v>85</v>
      </c>
      <c r="L13" s="147">
        <v>0</v>
      </c>
      <c r="M13" s="147">
        <v>0</v>
      </c>
      <c r="N13" s="147">
        <v>0</v>
      </c>
      <c r="O13" s="147">
        <v>0</v>
      </c>
      <c r="P13" s="147">
        <v>0</v>
      </c>
      <c r="Q13" s="164">
        <v>0</v>
      </c>
      <c r="R13" s="147">
        <v>0</v>
      </c>
      <c r="S13" s="146"/>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32" t="e">
        <f>B13*102.8/100</f>
        <v>#VALUE!</v>
      </c>
      <c r="AW13" s="233" t="e">
        <f t="shared" si="3"/>
        <v>#VALUE!</v>
      </c>
    </row>
    <row r="14" spans="1:49" ht="14.25" x14ac:dyDescent="0.2">
      <c r="A14" s="144" t="s">
        <v>104</v>
      </c>
      <c r="B14" s="145">
        <v>0</v>
      </c>
      <c r="C14" s="144" t="s">
        <v>105</v>
      </c>
      <c r="D14" s="144" t="s">
        <v>106</v>
      </c>
      <c r="E14" s="145">
        <v>0</v>
      </c>
      <c r="F14" s="129">
        <f t="shared" si="0"/>
        <v>0</v>
      </c>
      <c r="G14" s="144" t="s">
        <v>99</v>
      </c>
      <c r="H14" s="170">
        <f t="shared" si="1"/>
        <v>0</v>
      </c>
      <c r="I14" s="135"/>
      <c r="J14" s="146" t="s">
        <v>104</v>
      </c>
      <c r="K14" s="146" t="s">
        <v>85</v>
      </c>
      <c r="L14" s="147">
        <v>0</v>
      </c>
      <c r="M14" s="147">
        <v>0</v>
      </c>
      <c r="N14" s="147">
        <v>0</v>
      </c>
      <c r="O14" s="147">
        <v>0</v>
      </c>
      <c r="P14" s="147">
        <v>0</v>
      </c>
      <c r="Q14" s="164">
        <v>0</v>
      </c>
      <c r="R14" s="147">
        <v>0</v>
      </c>
      <c r="S14" s="146"/>
      <c r="Z14" s="222"/>
      <c r="AA14" s="222"/>
      <c r="AB14" s="222"/>
      <c r="AC14" s="222"/>
      <c r="AD14" s="222"/>
      <c r="AE14" s="222"/>
      <c r="AF14" s="222"/>
      <c r="AG14" s="222"/>
      <c r="AH14" s="222"/>
      <c r="AI14" s="222"/>
      <c r="AJ14" s="222"/>
      <c r="AK14" s="222"/>
      <c r="AL14" s="222"/>
      <c r="AM14" s="222"/>
      <c r="AN14" s="222"/>
      <c r="AO14" s="222"/>
      <c r="AP14" s="222"/>
      <c r="AQ14" s="222"/>
      <c r="AR14" s="222"/>
      <c r="AS14" s="222"/>
      <c r="AT14" s="222" t="s">
        <v>410</v>
      </c>
      <c r="AU14" s="222"/>
      <c r="AV14" s="232">
        <f t="shared" si="2"/>
        <v>0</v>
      </c>
      <c r="AW14" s="233" t="e">
        <f t="shared" si="3"/>
        <v>#DIV/0!</v>
      </c>
    </row>
    <row r="15" spans="1:49" ht="14.25" x14ac:dyDescent="0.2">
      <c r="A15" s="144" t="s">
        <v>107</v>
      </c>
      <c r="B15" s="145" t="s">
        <v>85</v>
      </c>
      <c r="C15" s="144"/>
      <c r="D15" s="144" t="s">
        <v>103</v>
      </c>
      <c r="E15" s="145" t="s">
        <v>85</v>
      </c>
      <c r="F15" s="129" t="str">
        <f t="shared" si="0"/>
        <v>FPA</v>
      </c>
      <c r="G15" s="144" t="s">
        <v>99</v>
      </c>
      <c r="H15" s="170">
        <f t="shared" si="1"/>
        <v>0</v>
      </c>
      <c r="I15" s="135"/>
      <c r="J15" s="146" t="s">
        <v>107</v>
      </c>
      <c r="K15" s="146" t="s">
        <v>85</v>
      </c>
      <c r="L15" s="147">
        <v>0</v>
      </c>
      <c r="M15" s="147">
        <v>0</v>
      </c>
      <c r="N15" s="147">
        <v>0</v>
      </c>
      <c r="O15" s="147">
        <v>0</v>
      </c>
      <c r="P15" s="147">
        <v>0</v>
      </c>
      <c r="Q15" s="164">
        <v>0</v>
      </c>
      <c r="R15" s="147">
        <v>0</v>
      </c>
      <c r="S15" s="146"/>
      <c r="Z15" s="222" t="s">
        <v>410</v>
      </c>
      <c r="AA15" s="222"/>
      <c r="AB15" s="222"/>
      <c r="AC15" s="222" t="s">
        <v>410</v>
      </c>
      <c r="AD15" s="222"/>
      <c r="AE15" s="222"/>
      <c r="AF15" s="222"/>
      <c r="AG15" s="222"/>
      <c r="AH15" s="222"/>
      <c r="AI15" s="222"/>
      <c r="AJ15" s="222"/>
      <c r="AK15" s="222"/>
      <c r="AL15" s="222"/>
      <c r="AM15" s="222"/>
      <c r="AN15" s="222"/>
      <c r="AO15" s="222"/>
      <c r="AP15" s="222"/>
      <c r="AQ15" s="222"/>
      <c r="AR15" s="222"/>
      <c r="AS15" s="222"/>
      <c r="AT15" s="222"/>
      <c r="AU15" s="222"/>
      <c r="AV15" s="232" t="e">
        <f t="shared" si="2"/>
        <v>#VALUE!</v>
      </c>
      <c r="AW15" s="233" t="e">
        <f t="shared" si="3"/>
        <v>#VALUE!</v>
      </c>
    </row>
    <row r="16" spans="1:49" ht="14.25" x14ac:dyDescent="0.2">
      <c r="A16" s="144" t="s">
        <v>108</v>
      </c>
      <c r="B16" s="145" t="s">
        <v>85</v>
      </c>
      <c r="C16" s="144" t="s">
        <v>283</v>
      </c>
      <c r="D16" s="144" t="s">
        <v>109</v>
      </c>
      <c r="E16" s="145">
        <v>21.85</v>
      </c>
      <c r="F16" s="129">
        <f t="shared" si="0"/>
        <v>21.85</v>
      </c>
      <c r="G16" s="144" t="s">
        <v>99</v>
      </c>
      <c r="H16" s="170">
        <f t="shared" si="1"/>
        <v>0</v>
      </c>
      <c r="I16" s="135"/>
      <c r="J16" s="146" t="s">
        <v>108</v>
      </c>
      <c r="K16" s="146" t="s">
        <v>85</v>
      </c>
      <c r="L16" s="147">
        <v>0</v>
      </c>
      <c r="M16" s="147">
        <v>0</v>
      </c>
      <c r="N16" s="147">
        <v>0</v>
      </c>
      <c r="O16" s="147">
        <v>0</v>
      </c>
      <c r="P16" s="147">
        <v>0</v>
      </c>
      <c r="Q16" s="164">
        <v>0</v>
      </c>
      <c r="R16" s="147">
        <v>0</v>
      </c>
      <c r="S16" s="146"/>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32" t="e">
        <f t="shared" si="2"/>
        <v>#VALUE!</v>
      </c>
      <c r="AW16" s="233" t="e">
        <f t="shared" si="3"/>
        <v>#VALUE!</v>
      </c>
    </row>
    <row r="17" spans="1:49" ht="14.25" x14ac:dyDescent="0.2">
      <c r="A17" s="144" t="s">
        <v>110</v>
      </c>
      <c r="B17" s="145" t="s">
        <v>85</v>
      </c>
      <c r="C17" s="144" t="s">
        <v>283</v>
      </c>
      <c r="D17" s="144" t="s">
        <v>111</v>
      </c>
      <c r="E17" s="145" t="s">
        <v>85</v>
      </c>
      <c r="F17" s="129" t="str">
        <f t="shared" si="0"/>
        <v>FPA</v>
      </c>
      <c r="G17" s="144" t="s">
        <v>99</v>
      </c>
      <c r="H17" s="170">
        <f t="shared" si="1"/>
        <v>0</v>
      </c>
      <c r="I17" s="135"/>
      <c r="J17" s="146" t="s">
        <v>110</v>
      </c>
      <c r="K17" s="146" t="s">
        <v>283</v>
      </c>
      <c r="L17" s="147">
        <v>0</v>
      </c>
      <c r="M17" s="147">
        <v>6.55</v>
      </c>
      <c r="N17" s="147">
        <v>0</v>
      </c>
      <c r="O17" s="147">
        <v>4.6260000000000003</v>
      </c>
      <c r="P17" s="147">
        <v>0.4</v>
      </c>
      <c r="Q17" s="164">
        <v>8.0999999999999996E-3</v>
      </c>
      <c r="R17" s="147">
        <v>0</v>
      </c>
      <c r="S17" s="146"/>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32" t="e">
        <f t="shared" si="2"/>
        <v>#VALUE!</v>
      </c>
      <c r="AW17" s="233" t="e">
        <f t="shared" si="3"/>
        <v>#VALUE!</v>
      </c>
    </row>
    <row r="18" spans="1:49" ht="14.25" x14ac:dyDescent="0.2">
      <c r="A18" s="144" t="s">
        <v>112</v>
      </c>
      <c r="B18" s="145" t="s">
        <v>85</v>
      </c>
      <c r="C18" s="144"/>
      <c r="D18" s="144" t="s">
        <v>99</v>
      </c>
      <c r="E18" s="145" t="s">
        <v>85</v>
      </c>
      <c r="F18" s="129" t="str">
        <f t="shared" si="0"/>
        <v>FPA</v>
      </c>
      <c r="G18" s="144" t="s">
        <v>99</v>
      </c>
      <c r="H18" s="170">
        <f t="shared" si="1"/>
        <v>0</v>
      </c>
      <c r="I18" s="135"/>
      <c r="J18" s="146" t="s">
        <v>112</v>
      </c>
      <c r="K18" s="146" t="s">
        <v>283</v>
      </c>
      <c r="L18" s="147">
        <v>0</v>
      </c>
      <c r="M18" s="147">
        <v>10.55</v>
      </c>
      <c r="N18" s="147">
        <v>0</v>
      </c>
      <c r="O18" s="147">
        <v>9.3699999999999992</v>
      </c>
      <c r="P18" s="147">
        <v>0.13</v>
      </c>
      <c r="Q18" s="164">
        <v>0</v>
      </c>
      <c r="R18" s="147">
        <v>0</v>
      </c>
      <c r="S18" s="146"/>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32" t="e">
        <f t="shared" si="2"/>
        <v>#VALUE!</v>
      </c>
      <c r="AW18" s="233" t="e">
        <f t="shared" si="3"/>
        <v>#VALUE!</v>
      </c>
    </row>
    <row r="19" spans="1:49" ht="14.25" x14ac:dyDescent="0.2">
      <c r="A19" s="144" t="s">
        <v>113</v>
      </c>
      <c r="B19" s="145">
        <v>151.55000000000001</v>
      </c>
      <c r="C19" s="144" t="s">
        <v>283</v>
      </c>
      <c r="D19" s="144" t="s">
        <v>101</v>
      </c>
      <c r="E19" s="145">
        <v>153.4</v>
      </c>
      <c r="F19" s="129">
        <f t="shared" si="0"/>
        <v>153.4</v>
      </c>
      <c r="G19" s="144" t="s">
        <v>99</v>
      </c>
      <c r="H19" s="170">
        <f t="shared" si="1"/>
        <v>0</v>
      </c>
      <c r="I19" s="135"/>
      <c r="J19" s="146" t="s">
        <v>113</v>
      </c>
      <c r="K19" s="146" t="s">
        <v>97</v>
      </c>
      <c r="L19" s="147">
        <v>0</v>
      </c>
      <c r="M19" s="147">
        <f>6000/500</f>
        <v>12</v>
      </c>
      <c r="N19" s="147">
        <v>0</v>
      </c>
      <c r="O19" s="147">
        <f>98/500</f>
        <v>0.19600000000000001</v>
      </c>
      <c r="P19" s="147">
        <f>100/500</f>
        <v>0.2</v>
      </c>
      <c r="Q19" s="164">
        <v>0</v>
      </c>
      <c r="R19" s="147">
        <v>0</v>
      </c>
      <c r="S19" s="146" t="s">
        <v>333</v>
      </c>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32">
        <f t="shared" si="2"/>
        <v>155.79339999999999</v>
      </c>
      <c r="AW19" s="233">
        <f t="shared" si="3"/>
        <v>1.0156023468057365</v>
      </c>
    </row>
    <row r="20" spans="1:49" ht="14.25" x14ac:dyDescent="0.2">
      <c r="A20" s="237" t="s">
        <v>450</v>
      </c>
      <c r="B20" s="239">
        <v>186790</v>
      </c>
      <c r="C20" s="237" t="s">
        <v>451</v>
      </c>
      <c r="D20" s="144" t="s">
        <v>99</v>
      </c>
      <c r="E20" s="230">
        <v>191999.82142857142</v>
      </c>
      <c r="F20" s="238">
        <f t="shared" si="0"/>
        <v>191999.82142857142</v>
      </c>
      <c r="G20" s="144" t="s">
        <v>99</v>
      </c>
      <c r="H20" s="170">
        <f t="shared" si="1"/>
        <v>0</v>
      </c>
      <c r="I20" s="135"/>
      <c r="J20" s="146"/>
      <c r="K20" s="146"/>
      <c r="L20" s="147"/>
      <c r="M20" s="147"/>
      <c r="N20" s="147"/>
      <c r="O20" s="147"/>
      <c r="P20" s="147"/>
      <c r="Q20" s="164"/>
      <c r="R20" s="147"/>
      <c r="S20" s="146"/>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row>
    <row r="21" spans="1:49" ht="14.25" x14ac:dyDescent="0.2">
      <c r="A21" s="237" t="s">
        <v>452</v>
      </c>
      <c r="B21" s="239">
        <v>38145</v>
      </c>
      <c r="C21" s="237" t="s">
        <v>451</v>
      </c>
      <c r="D21" s="144" t="s">
        <v>99</v>
      </c>
      <c r="E21" s="230">
        <v>39217.380952380954</v>
      </c>
      <c r="F21" s="238">
        <f t="shared" si="0"/>
        <v>39217.380952380954</v>
      </c>
      <c r="G21" s="144" t="s">
        <v>99</v>
      </c>
      <c r="H21" s="170">
        <f t="shared" si="1"/>
        <v>0</v>
      </c>
      <c r="I21" s="135"/>
      <c r="J21" s="146"/>
      <c r="K21" s="146"/>
      <c r="L21" s="147"/>
      <c r="M21" s="147"/>
      <c r="N21" s="147"/>
      <c r="O21" s="147"/>
      <c r="P21" s="147"/>
      <c r="Q21" s="164"/>
      <c r="R21" s="147"/>
      <c r="S21" s="146"/>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row>
    <row r="22" spans="1:49" ht="14.25" x14ac:dyDescent="0.2">
      <c r="A22" s="237" t="s">
        <v>453</v>
      </c>
      <c r="B22" s="239">
        <v>248905</v>
      </c>
      <c r="C22" s="237" t="s">
        <v>454</v>
      </c>
      <c r="D22" s="144" t="s">
        <v>99</v>
      </c>
      <c r="E22" s="230">
        <v>255907.67857142855</v>
      </c>
      <c r="F22" s="238">
        <f t="shared" si="0"/>
        <v>255907.67857142855</v>
      </c>
      <c r="G22" s="144" t="s">
        <v>99</v>
      </c>
      <c r="H22" s="170">
        <f t="shared" si="1"/>
        <v>0</v>
      </c>
      <c r="I22" s="135"/>
      <c r="J22" s="146"/>
      <c r="K22" s="146"/>
      <c r="L22" s="147"/>
      <c r="M22" s="147"/>
      <c r="N22" s="147"/>
      <c r="O22" s="147"/>
      <c r="P22" s="147"/>
      <c r="Q22" s="164"/>
      <c r="R22" s="147"/>
      <c r="S22" s="146"/>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row>
    <row r="23" spans="1:49" ht="14.25" x14ac:dyDescent="0.2">
      <c r="A23" s="237" t="s">
        <v>455</v>
      </c>
      <c r="B23" s="239">
        <v>121259</v>
      </c>
      <c r="C23" s="237" t="s">
        <v>451</v>
      </c>
      <c r="D23" s="144" t="s">
        <v>99</v>
      </c>
      <c r="E23" s="230">
        <v>124709.16666666666</v>
      </c>
      <c r="F23" s="238">
        <f t="shared" si="0"/>
        <v>124709.16666666666</v>
      </c>
      <c r="G23" s="144" t="s">
        <v>99</v>
      </c>
      <c r="H23" s="170">
        <f t="shared" si="1"/>
        <v>0</v>
      </c>
      <c r="I23" s="135"/>
      <c r="J23" s="146"/>
      <c r="K23" s="146"/>
      <c r="L23" s="147"/>
      <c r="M23" s="147"/>
      <c r="N23" s="147"/>
      <c r="O23" s="147"/>
      <c r="P23" s="147"/>
      <c r="Q23" s="164"/>
      <c r="R23" s="147"/>
      <c r="S23" s="146"/>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row>
    <row r="24" spans="1:49" ht="14.25" x14ac:dyDescent="0.2">
      <c r="A24" s="237" t="s">
        <v>456</v>
      </c>
      <c r="B24" s="239">
        <v>29536</v>
      </c>
      <c r="C24" s="237" t="s">
        <v>451</v>
      </c>
      <c r="D24" s="144" t="s">
        <v>99</v>
      </c>
      <c r="E24" s="230">
        <v>30367.261904761905</v>
      </c>
      <c r="F24" s="238">
        <f t="shared" si="0"/>
        <v>30367.261904761905</v>
      </c>
      <c r="G24" s="144" t="s">
        <v>99</v>
      </c>
      <c r="H24" s="170">
        <f t="shared" si="1"/>
        <v>0</v>
      </c>
      <c r="I24" s="135"/>
      <c r="J24" s="146"/>
      <c r="K24" s="146"/>
      <c r="L24" s="147"/>
      <c r="M24" s="147"/>
      <c r="N24" s="147"/>
      <c r="O24" s="147"/>
      <c r="P24" s="147"/>
      <c r="Q24" s="164"/>
      <c r="R24" s="147"/>
      <c r="S24" s="146"/>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row>
    <row r="25" spans="1:49" ht="14.25" x14ac:dyDescent="0.2">
      <c r="A25" s="237" t="s">
        <v>457</v>
      </c>
      <c r="B25" s="239">
        <v>173651</v>
      </c>
      <c r="C25" s="237" t="s">
        <v>454</v>
      </c>
      <c r="D25" s="144" t="s">
        <v>99</v>
      </c>
      <c r="E25" s="230">
        <v>178539.46428571429</v>
      </c>
      <c r="F25" s="238">
        <f t="shared" si="0"/>
        <v>178539.46428571429</v>
      </c>
      <c r="G25" s="144" t="s">
        <v>99</v>
      </c>
      <c r="H25" s="170">
        <f t="shared" si="1"/>
        <v>0</v>
      </c>
      <c r="I25" s="135"/>
      <c r="J25" s="146"/>
      <c r="K25" s="146"/>
      <c r="L25" s="147"/>
      <c r="M25" s="147"/>
      <c r="N25" s="147"/>
      <c r="O25" s="147"/>
      <c r="P25" s="147"/>
      <c r="Q25" s="164"/>
      <c r="R25" s="147"/>
      <c r="S25" s="146"/>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row>
    <row r="26" spans="1:49" ht="14.25" x14ac:dyDescent="0.2">
      <c r="A26" s="144" t="s">
        <v>114</v>
      </c>
      <c r="B26" s="230">
        <v>14299</v>
      </c>
      <c r="C26" s="144" t="s">
        <v>115</v>
      </c>
      <c r="D26" s="144" t="s">
        <v>116</v>
      </c>
      <c r="E26" s="145">
        <v>21912.6</v>
      </c>
      <c r="F26" s="129">
        <f t="shared" si="0"/>
        <v>21912.6</v>
      </c>
      <c r="G26" s="144" t="s">
        <v>117</v>
      </c>
      <c r="H26" s="170">
        <f t="shared" si="1"/>
        <v>0</v>
      </c>
      <c r="I26" s="135"/>
      <c r="J26" s="146" t="s">
        <v>284</v>
      </c>
      <c r="K26" s="146" t="s">
        <v>115</v>
      </c>
      <c r="L26" s="147">
        <v>0</v>
      </c>
      <c r="M26" s="147">
        <v>859</v>
      </c>
      <c r="N26" s="147">
        <v>0</v>
      </c>
      <c r="O26" s="147">
        <v>304</v>
      </c>
      <c r="P26" s="147">
        <v>3.1999999999999997</v>
      </c>
      <c r="Q26" s="164">
        <v>0.27</v>
      </c>
      <c r="R26" s="147">
        <v>1.2</v>
      </c>
      <c r="S26" s="146"/>
      <c r="Z26" s="222" t="s">
        <v>410</v>
      </c>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32">
        <f t="shared" si="2"/>
        <v>14699.371999999999</v>
      </c>
      <c r="AW26" s="233">
        <f t="shared" si="3"/>
        <v>0.67081825068681944</v>
      </c>
    </row>
    <row r="27" spans="1:49" ht="14.25" x14ac:dyDescent="0.2">
      <c r="A27" s="144" t="s">
        <v>118</v>
      </c>
      <c r="B27" s="230">
        <v>20176</v>
      </c>
      <c r="C27" s="144" t="s">
        <v>115</v>
      </c>
      <c r="D27" s="144" t="s">
        <v>116</v>
      </c>
      <c r="E27" s="145">
        <v>21912.6</v>
      </c>
      <c r="F27" s="129">
        <f t="shared" si="0"/>
        <v>21912.6</v>
      </c>
      <c r="G27" s="144" t="s">
        <v>117</v>
      </c>
      <c r="H27" s="170">
        <f t="shared" si="1"/>
        <v>0</v>
      </c>
      <c r="I27" s="135"/>
      <c r="J27" s="146" t="s">
        <v>285</v>
      </c>
      <c r="K27" s="146" t="s">
        <v>115</v>
      </c>
      <c r="L27" s="147">
        <v>0</v>
      </c>
      <c r="M27" s="147">
        <v>1215</v>
      </c>
      <c r="N27" s="147">
        <v>0</v>
      </c>
      <c r="O27" s="147">
        <v>424</v>
      </c>
      <c r="P27" s="147">
        <v>4.5</v>
      </c>
      <c r="Q27" s="164">
        <v>0.39</v>
      </c>
      <c r="R27" s="147">
        <v>1.7</v>
      </c>
      <c r="S27" s="146"/>
      <c r="Z27" s="222" t="s">
        <v>410</v>
      </c>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32">
        <f t="shared" si="2"/>
        <v>20740.928</v>
      </c>
      <c r="AW27" s="233">
        <f t="shared" si="3"/>
        <v>0.94652975913401427</v>
      </c>
    </row>
    <row r="28" spans="1:49" ht="14.25" x14ac:dyDescent="0.2">
      <c r="A28" s="144" t="s">
        <v>119</v>
      </c>
      <c r="B28" s="230">
        <v>23428</v>
      </c>
      <c r="C28" s="144" t="s">
        <v>115</v>
      </c>
      <c r="D28" s="144" t="s">
        <v>120</v>
      </c>
      <c r="E28" s="145">
        <v>30677.65</v>
      </c>
      <c r="F28" s="129">
        <f>IF(E28="FPA","FPA",E28*$F$6/$E$6)</f>
        <v>30677.650000000005</v>
      </c>
      <c r="G28" s="144" t="s">
        <v>117</v>
      </c>
      <c r="H28" s="170">
        <f t="shared" si="1"/>
        <v>0</v>
      </c>
      <c r="I28" s="135"/>
      <c r="J28" s="146" t="s">
        <v>286</v>
      </c>
      <c r="K28" s="146" t="s">
        <v>115</v>
      </c>
      <c r="L28" s="147">
        <v>0</v>
      </c>
      <c r="M28" s="147">
        <v>1275</v>
      </c>
      <c r="N28" s="147">
        <v>0</v>
      </c>
      <c r="O28" s="147">
        <v>441</v>
      </c>
      <c r="P28" s="147">
        <v>6.3999999999999995</v>
      </c>
      <c r="Q28" s="164">
        <v>0.55000000000000004</v>
      </c>
      <c r="R28" s="147">
        <v>2.4</v>
      </c>
      <c r="S28" s="146"/>
      <c r="Z28" s="222" t="s">
        <v>410</v>
      </c>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32">
        <f t="shared" si="2"/>
        <v>24083.984</v>
      </c>
      <c r="AW28" s="233">
        <f t="shared" si="3"/>
        <v>0.785066131206269</v>
      </c>
    </row>
    <row r="29" spans="1:49" ht="14.25" x14ac:dyDescent="0.2">
      <c r="A29" s="144" t="s">
        <v>121</v>
      </c>
      <c r="B29" s="230">
        <v>16299</v>
      </c>
      <c r="C29" s="144" t="s">
        <v>115</v>
      </c>
      <c r="D29" s="144" t="s">
        <v>116</v>
      </c>
      <c r="E29" s="145">
        <v>21912.6</v>
      </c>
      <c r="F29" s="129">
        <f t="shared" si="0"/>
        <v>21912.6</v>
      </c>
      <c r="G29" s="144" t="s">
        <v>117</v>
      </c>
      <c r="H29" s="170">
        <f t="shared" si="1"/>
        <v>0</v>
      </c>
      <c r="I29" s="135"/>
      <c r="J29" s="146" t="s">
        <v>389</v>
      </c>
      <c r="K29" s="146" t="s">
        <v>115</v>
      </c>
      <c r="L29" s="147">
        <v>0</v>
      </c>
      <c r="M29" s="147">
        <v>1215</v>
      </c>
      <c r="N29" s="147">
        <v>0</v>
      </c>
      <c r="O29" s="147">
        <v>424</v>
      </c>
      <c r="P29" s="147">
        <v>4.5</v>
      </c>
      <c r="Q29" s="164">
        <v>0.39</v>
      </c>
      <c r="R29" s="147">
        <v>1.7</v>
      </c>
      <c r="S29" s="146"/>
      <c r="Z29" s="222" t="s">
        <v>410</v>
      </c>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32">
        <f t="shared" si="2"/>
        <v>16755.371999999999</v>
      </c>
      <c r="AW29" s="233">
        <f t="shared" si="3"/>
        <v>0.76464554639796289</v>
      </c>
    </row>
    <row r="30" spans="1:49" ht="14.25" x14ac:dyDescent="0.2">
      <c r="A30" s="144" t="s">
        <v>122</v>
      </c>
      <c r="B30" s="230">
        <v>21899</v>
      </c>
      <c r="C30" s="144" t="s">
        <v>115</v>
      </c>
      <c r="D30" s="144" t="s">
        <v>120</v>
      </c>
      <c r="E30" s="145">
        <v>30677.65</v>
      </c>
      <c r="F30" s="129">
        <f t="shared" si="0"/>
        <v>30677.650000000005</v>
      </c>
      <c r="G30" s="144" t="s">
        <v>117</v>
      </c>
      <c r="H30" s="170">
        <f t="shared" si="1"/>
        <v>0</v>
      </c>
      <c r="I30" s="135"/>
      <c r="J30" s="146" t="str">
        <f>+J51</f>
        <v>Dwelling house (on lots &lt; 200m2)</v>
      </c>
      <c r="K30" s="146" t="str">
        <f t="shared" ref="K30:R30" si="4">+K51</f>
        <v>Dwelling</v>
      </c>
      <c r="L30" s="147">
        <f t="shared" si="4"/>
        <v>0</v>
      </c>
      <c r="M30" s="146">
        <f t="shared" si="4"/>
        <v>650</v>
      </c>
      <c r="N30" s="147">
        <f t="shared" si="4"/>
        <v>0</v>
      </c>
      <c r="O30" s="146">
        <f t="shared" si="4"/>
        <v>631</v>
      </c>
      <c r="P30" s="146">
        <f t="shared" si="4"/>
        <v>7.3</v>
      </c>
      <c r="Q30" s="146">
        <f t="shared" si="4"/>
        <v>0.43</v>
      </c>
      <c r="R30" s="146">
        <f t="shared" si="4"/>
        <v>2.8</v>
      </c>
      <c r="S30" s="146"/>
      <c r="Z30" s="222" t="s">
        <v>410</v>
      </c>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32">
        <f t="shared" si="2"/>
        <v>22512.171999999999</v>
      </c>
      <c r="AW30" s="233">
        <f t="shared" si="3"/>
        <v>0.7338297424998329</v>
      </c>
    </row>
    <row r="31" spans="1:49" ht="14.25" x14ac:dyDescent="0.2">
      <c r="A31" s="144" t="s">
        <v>123</v>
      </c>
      <c r="B31" s="230">
        <v>22453</v>
      </c>
      <c r="C31" s="144" t="s">
        <v>115</v>
      </c>
      <c r="D31" s="144" t="s">
        <v>120</v>
      </c>
      <c r="E31" s="145">
        <v>30677.65</v>
      </c>
      <c r="F31" s="129">
        <f t="shared" si="0"/>
        <v>30677.650000000005</v>
      </c>
      <c r="G31" s="144" t="s">
        <v>117</v>
      </c>
      <c r="H31" s="170">
        <f t="shared" si="1"/>
        <v>0</v>
      </c>
      <c r="I31" s="135"/>
      <c r="J31" s="146" t="str">
        <f t="shared" ref="J31:R34" si="5">+J52</f>
        <v>Dwelling house (on lots 200m2-299m2)</v>
      </c>
      <c r="K31" s="146" t="str">
        <f t="shared" si="5"/>
        <v>Dwelling</v>
      </c>
      <c r="L31" s="147">
        <f t="shared" si="5"/>
        <v>0</v>
      </c>
      <c r="M31" s="146">
        <f t="shared" si="5"/>
        <v>725</v>
      </c>
      <c r="N31" s="147">
        <f t="shared" si="5"/>
        <v>0</v>
      </c>
      <c r="O31" s="146">
        <f t="shared" si="5"/>
        <v>631</v>
      </c>
      <c r="P31" s="146">
        <f t="shared" si="5"/>
        <v>7.3</v>
      </c>
      <c r="Q31" s="146">
        <f t="shared" si="5"/>
        <v>0.43</v>
      </c>
      <c r="R31" s="146">
        <f t="shared" si="5"/>
        <v>2.8</v>
      </c>
      <c r="S31" s="146"/>
      <c r="Z31" s="222" t="s">
        <v>410</v>
      </c>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32">
        <f t="shared" si="2"/>
        <v>23081.683999999997</v>
      </c>
      <c r="AW31" s="233">
        <f t="shared" si="3"/>
        <v>0.75239413709981029</v>
      </c>
    </row>
    <row r="32" spans="1:49" ht="14.25" x14ac:dyDescent="0.2">
      <c r="A32" s="144" t="s">
        <v>124</v>
      </c>
      <c r="B32" s="230">
        <v>24351</v>
      </c>
      <c r="C32" s="144" t="s">
        <v>115</v>
      </c>
      <c r="D32" s="144" t="s">
        <v>120</v>
      </c>
      <c r="E32" s="145">
        <v>30677.65</v>
      </c>
      <c r="F32" s="129">
        <f t="shared" si="0"/>
        <v>30677.650000000005</v>
      </c>
      <c r="G32" s="144" t="s">
        <v>117</v>
      </c>
      <c r="H32" s="170">
        <f t="shared" si="1"/>
        <v>0</v>
      </c>
      <c r="I32" s="135"/>
      <c r="J32" s="146" t="str">
        <f t="shared" si="5"/>
        <v>Dwelling house (on lots 300m2-399m2)</v>
      </c>
      <c r="K32" s="146" t="str">
        <f t="shared" si="5"/>
        <v>Dwelling</v>
      </c>
      <c r="L32" s="147">
        <f t="shared" si="5"/>
        <v>0</v>
      </c>
      <c r="M32" s="146">
        <f t="shared" si="5"/>
        <v>975</v>
      </c>
      <c r="N32" s="147">
        <f t="shared" si="5"/>
        <v>0</v>
      </c>
      <c r="O32" s="146">
        <f t="shared" si="5"/>
        <v>631</v>
      </c>
      <c r="P32" s="146">
        <f t="shared" si="5"/>
        <v>7.3</v>
      </c>
      <c r="Q32" s="146">
        <f t="shared" si="5"/>
        <v>0.43</v>
      </c>
      <c r="R32" s="146">
        <f t="shared" si="5"/>
        <v>2.8</v>
      </c>
      <c r="S32" s="146"/>
      <c r="Z32" s="222" t="s">
        <v>410</v>
      </c>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32">
        <f t="shared" si="2"/>
        <v>25032.827999999998</v>
      </c>
      <c r="AW32" s="233">
        <f t="shared" si="3"/>
        <v>0.81599561896038308</v>
      </c>
    </row>
    <row r="33" spans="1:49" s="161" customFormat="1" ht="14.25" x14ac:dyDescent="0.2">
      <c r="A33" s="144" t="s">
        <v>379</v>
      </c>
      <c r="B33" s="230">
        <v>26915</v>
      </c>
      <c r="C33" s="144" t="s">
        <v>115</v>
      </c>
      <c r="D33" s="159" t="s">
        <v>120</v>
      </c>
      <c r="E33" s="160">
        <v>30677.65</v>
      </c>
      <c r="F33" s="129">
        <f t="shared" si="0"/>
        <v>30677.650000000005</v>
      </c>
      <c r="G33" s="159" t="s">
        <v>117</v>
      </c>
      <c r="H33" s="170">
        <f t="shared" si="1"/>
        <v>0</v>
      </c>
      <c r="I33" s="135"/>
      <c r="J33" s="146" t="str">
        <f t="shared" si="5"/>
        <v>Dwelling house (on lots 400m2-499m2)</v>
      </c>
      <c r="K33" s="146" t="str">
        <f t="shared" si="5"/>
        <v>Dwelling</v>
      </c>
      <c r="L33" s="147">
        <f t="shared" si="5"/>
        <v>0</v>
      </c>
      <c r="M33" s="146">
        <f t="shared" si="5"/>
        <v>1312.5</v>
      </c>
      <c r="N33" s="147">
        <f t="shared" si="5"/>
        <v>0</v>
      </c>
      <c r="O33" s="146">
        <f t="shared" si="5"/>
        <v>631</v>
      </c>
      <c r="P33" s="146">
        <f t="shared" si="5"/>
        <v>7.3</v>
      </c>
      <c r="Q33" s="146">
        <f t="shared" si="5"/>
        <v>0.43</v>
      </c>
      <c r="R33" s="146">
        <f t="shared" si="5"/>
        <v>2.8</v>
      </c>
      <c r="S33" s="149"/>
      <c r="Z33" s="222" t="s">
        <v>410</v>
      </c>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32">
        <f t="shared" si="2"/>
        <v>27668.62</v>
      </c>
      <c r="AW33" s="233">
        <f t="shared" si="3"/>
        <v>0.90191458602598296</v>
      </c>
    </row>
    <row r="34" spans="1:49" s="161" customFormat="1" ht="14.25" x14ac:dyDescent="0.2">
      <c r="A34" s="144" t="s">
        <v>380</v>
      </c>
      <c r="B34" s="230">
        <v>29480</v>
      </c>
      <c r="C34" s="144" t="s">
        <v>115</v>
      </c>
      <c r="D34" s="159" t="s">
        <v>120</v>
      </c>
      <c r="E34" s="160">
        <v>30677.65</v>
      </c>
      <c r="F34" s="129">
        <f t="shared" si="0"/>
        <v>30677.650000000005</v>
      </c>
      <c r="G34" s="159" t="s">
        <v>117</v>
      </c>
      <c r="H34" s="170">
        <f t="shared" si="1"/>
        <v>0</v>
      </c>
      <c r="I34" s="135"/>
      <c r="J34" s="146" t="str">
        <f t="shared" si="5"/>
        <v>Dwelling house (on lots &gt;500m2)</v>
      </c>
      <c r="K34" s="146" t="str">
        <f t="shared" si="5"/>
        <v>Dwelling</v>
      </c>
      <c r="L34" s="147">
        <f t="shared" si="5"/>
        <v>0</v>
      </c>
      <c r="M34" s="146">
        <f t="shared" si="5"/>
        <v>1650</v>
      </c>
      <c r="N34" s="147">
        <f t="shared" si="5"/>
        <v>0</v>
      </c>
      <c r="O34" s="146">
        <f t="shared" si="5"/>
        <v>631</v>
      </c>
      <c r="P34" s="146">
        <f t="shared" si="5"/>
        <v>7.3</v>
      </c>
      <c r="Q34" s="146">
        <f t="shared" si="5"/>
        <v>0.43</v>
      </c>
      <c r="R34" s="146">
        <f t="shared" si="5"/>
        <v>2.8</v>
      </c>
      <c r="S34" s="149"/>
      <c r="Z34" s="222" t="s">
        <v>410</v>
      </c>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32">
        <f t="shared" si="2"/>
        <v>30305.439999999999</v>
      </c>
      <c r="AW34" s="233">
        <f t="shared" si="3"/>
        <v>0.98786706282912795</v>
      </c>
    </row>
    <row r="35" spans="1:49" ht="14.25" x14ac:dyDescent="0.2">
      <c r="A35" s="144" t="s">
        <v>125</v>
      </c>
      <c r="B35" s="145">
        <v>0</v>
      </c>
      <c r="C35" s="144" t="s">
        <v>105</v>
      </c>
      <c r="D35" s="144" t="s">
        <v>126</v>
      </c>
      <c r="E35" s="145">
        <v>0</v>
      </c>
      <c r="F35" s="129">
        <f t="shared" si="0"/>
        <v>0</v>
      </c>
      <c r="G35" s="144" t="s">
        <v>99</v>
      </c>
      <c r="H35" s="170">
        <f t="shared" si="1"/>
        <v>0</v>
      </c>
      <c r="I35" s="135"/>
      <c r="J35" s="146" t="s">
        <v>125</v>
      </c>
      <c r="K35" s="146" t="s">
        <v>85</v>
      </c>
      <c r="L35" s="147">
        <v>0</v>
      </c>
      <c r="M35" s="147">
        <v>0</v>
      </c>
      <c r="N35" s="147">
        <v>0</v>
      </c>
      <c r="O35" s="147">
        <v>0</v>
      </c>
      <c r="P35" s="147">
        <v>0</v>
      </c>
      <c r="Q35" s="164">
        <v>0</v>
      </c>
      <c r="R35" s="147">
        <v>0</v>
      </c>
      <c r="S35" s="146"/>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32">
        <f t="shared" si="2"/>
        <v>0</v>
      </c>
      <c r="AW35" s="233" t="e">
        <f t="shared" si="3"/>
        <v>#DIV/0!</v>
      </c>
    </row>
    <row r="36" spans="1:49" ht="14.25" x14ac:dyDescent="0.2">
      <c r="A36" s="144" t="s">
        <v>127</v>
      </c>
      <c r="B36" s="145">
        <v>151.55000000000001</v>
      </c>
      <c r="C36" s="144" t="s">
        <v>283</v>
      </c>
      <c r="D36" s="144" t="s">
        <v>128</v>
      </c>
      <c r="E36" s="145">
        <v>153.4</v>
      </c>
      <c r="F36" s="129">
        <f t="shared" si="0"/>
        <v>153.4</v>
      </c>
      <c r="G36" s="144" t="s">
        <v>99</v>
      </c>
      <c r="H36" s="170">
        <f t="shared" si="1"/>
        <v>0</v>
      </c>
      <c r="I36" s="135"/>
      <c r="J36" s="146" t="s">
        <v>127</v>
      </c>
      <c r="K36" s="146" t="s">
        <v>283</v>
      </c>
      <c r="L36" s="147">
        <v>0</v>
      </c>
      <c r="M36" s="147">
        <v>11</v>
      </c>
      <c r="N36" s="147">
        <v>0</v>
      </c>
      <c r="O36" s="147">
        <v>9.5299999999999994</v>
      </c>
      <c r="P36" s="147">
        <v>0.43</v>
      </c>
      <c r="Q36" s="164">
        <v>2.7000000000000001E-3</v>
      </c>
      <c r="R36" s="147">
        <v>0</v>
      </c>
      <c r="S36" s="146"/>
      <c r="Z36" s="222"/>
      <c r="AA36" s="222"/>
      <c r="AB36" s="222"/>
      <c r="AC36" s="222"/>
      <c r="AD36" s="222"/>
      <c r="AE36" s="222" t="s">
        <v>410</v>
      </c>
      <c r="AF36" s="222" t="s">
        <v>410</v>
      </c>
      <c r="AG36" s="222" t="s">
        <v>410</v>
      </c>
      <c r="AH36" s="222" t="s">
        <v>410</v>
      </c>
      <c r="AI36" s="222" t="s">
        <v>410</v>
      </c>
      <c r="AJ36" s="222" t="s">
        <v>410</v>
      </c>
      <c r="AK36" s="222" t="s">
        <v>410</v>
      </c>
      <c r="AL36" s="222"/>
      <c r="AM36" s="222"/>
      <c r="AN36" s="222"/>
      <c r="AO36" s="222"/>
      <c r="AP36" s="222"/>
      <c r="AQ36" s="222"/>
      <c r="AR36" s="222"/>
      <c r="AS36" s="222"/>
      <c r="AT36" s="222"/>
      <c r="AU36" s="222"/>
      <c r="AV36" s="232">
        <f t="shared" si="2"/>
        <v>155.79339999999999</v>
      </c>
      <c r="AW36" s="233">
        <f t="shared" si="3"/>
        <v>1.0156023468057365</v>
      </c>
    </row>
    <row r="37" spans="1:49" ht="14.25" x14ac:dyDescent="0.2">
      <c r="A37" s="144" t="s">
        <v>129</v>
      </c>
      <c r="B37" s="145">
        <v>75.8</v>
      </c>
      <c r="C37" s="144" t="s">
        <v>283</v>
      </c>
      <c r="D37" s="144" t="s">
        <v>130</v>
      </c>
      <c r="E37" s="145">
        <v>76.75</v>
      </c>
      <c r="F37" s="129">
        <f t="shared" si="0"/>
        <v>76.75</v>
      </c>
      <c r="G37" s="144" t="s">
        <v>99</v>
      </c>
      <c r="H37" s="170">
        <f t="shared" si="1"/>
        <v>0</v>
      </c>
      <c r="I37" s="135"/>
      <c r="J37" s="146" t="s">
        <v>129</v>
      </c>
      <c r="K37" s="146" t="s">
        <v>283</v>
      </c>
      <c r="L37" s="147">
        <v>0</v>
      </c>
      <c r="M37" s="147">
        <v>5.75</v>
      </c>
      <c r="N37" s="147">
        <v>0</v>
      </c>
      <c r="O37" s="147">
        <v>4.7300000000000004</v>
      </c>
      <c r="P37" s="147">
        <v>0.08</v>
      </c>
      <c r="Q37" s="164">
        <v>8.1000000000000013E-3</v>
      </c>
      <c r="R37" s="147">
        <v>0</v>
      </c>
      <c r="S37" s="146"/>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32">
        <f t="shared" si="2"/>
        <v>77.922399999999996</v>
      </c>
      <c r="AW37" s="233">
        <f t="shared" si="3"/>
        <v>1.0152755700325733</v>
      </c>
    </row>
    <row r="38" spans="1:49" ht="14.25" x14ac:dyDescent="0.2">
      <c r="A38" s="144" t="s">
        <v>131</v>
      </c>
      <c r="B38" s="145" t="s">
        <v>85</v>
      </c>
      <c r="C38" s="144" t="s">
        <v>283</v>
      </c>
      <c r="D38" s="144" t="s">
        <v>128</v>
      </c>
      <c r="E38" s="145">
        <v>153.4</v>
      </c>
      <c r="F38" s="129">
        <f t="shared" si="0"/>
        <v>153.4</v>
      </c>
      <c r="G38" s="144" t="s">
        <v>99</v>
      </c>
      <c r="H38" s="170">
        <f t="shared" si="1"/>
        <v>0</v>
      </c>
      <c r="I38" s="135"/>
      <c r="J38" s="146" t="s">
        <v>131</v>
      </c>
      <c r="K38" s="146" t="s">
        <v>85</v>
      </c>
      <c r="L38" s="147">
        <v>0</v>
      </c>
      <c r="M38" s="147">
        <v>0</v>
      </c>
      <c r="N38" s="147">
        <v>0</v>
      </c>
      <c r="O38" s="147">
        <v>0</v>
      </c>
      <c r="P38" s="147">
        <v>0</v>
      </c>
      <c r="Q38" s="164">
        <v>0</v>
      </c>
      <c r="R38" s="147">
        <v>0</v>
      </c>
      <c r="S38" s="146"/>
      <c r="Z38" s="222"/>
      <c r="AA38" s="222"/>
      <c r="AB38" s="222"/>
      <c r="AC38" s="222"/>
      <c r="AD38" s="222"/>
      <c r="AE38" s="222"/>
      <c r="AF38" s="222"/>
      <c r="AG38" s="222"/>
      <c r="AH38" s="222"/>
      <c r="AI38" s="222"/>
      <c r="AJ38" s="222"/>
      <c r="AK38" s="222"/>
      <c r="AL38" s="222"/>
      <c r="AM38" s="222"/>
      <c r="AN38" s="222" t="s">
        <v>410</v>
      </c>
      <c r="AO38" s="222"/>
      <c r="AP38" s="222"/>
      <c r="AQ38" s="222"/>
      <c r="AR38" s="222"/>
      <c r="AS38" s="222"/>
      <c r="AT38" s="222"/>
      <c r="AU38" s="222"/>
      <c r="AV38" s="232" t="e">
        <f t="shared" si="2"/>
        <v>#VALUE!</v>
      </c>
      <c r="AW38" s="233" t="e">
        <f t="shared" si="3"/>
        <v>#VALUE!</v>
      </c>
    </row>
    <row r="39" spans="1:49" ht="14.25" x14ac:dyDescent="0.2">
      <c r="A39" s="144" t="s">
        <v>132</v>
      </c>
      <c r="B39" s="230">
        <v>10339</v>
      </c>
      <c r="C39" s="144" t="s">
        <v>133</v>
      </c>
      <c r="D39" s="144" t="s">
        <v>213</v>
      </c>
      <c r="E39" s="145">
        <v>21912.6</v>
      </c>
      <c r="F39" s="129">
        <f t="shared" si="0"/>
        <v>21912.6</v>
      </c>
      <c r="G39" s="144" t="s">
        <v>117</v>
      </c>
      <c r="H39" s="170">
        <f t="shared" si="1"/>
        <v>0</v>
      </c>
      <c r="I39" s="135"/>
      <c r="J39" s="146" t="s">
        <v>132</v>
      </c>
      <c r="K39" s="146" t="s">
        <v>133</v>
      </c>
      <c r="L39" s="147">
        <v>0</v>
      </c>
      <c r="M39" s="147">
        <v>400</v>
      </c>
      <c r="N39" s="147">
        <v>0</v>
      </c>
      <c r="O39" s="147">
        <v>349</v>
      </c>
      <c r="P39" s="147">
        <v>2.4</v>
      </c>
      <c r="Q39" s="164">
        <v>0.14000000000000001</v>
      </c>
      <c r="R39" s="147">
        <v>1</v>
      </c>
      <c r="S39" s="146"/>
      <c r="Z39" s="222" t="s">
        <v>410</v>
      </c>
      <c r="AA39" s="222" t="s">
        <v>410</v>
      </c>
      <c r="AB39" s="222" t="s">
        <v>410</v>
      </c>
      <c r="AC39" s="222" t="s">
        <v>410</v>
      </c>
      <c r="AD39" s="222" t="s">
        <v>410</v>
      </c>
      <c r="AE39" s="222"/>
      <c r="AF39" s="222"/>
      <c r="AG39" s="222"/>
      <c r="AH39" s="222"/>
      <c r="AI39" s="222"/>
      <c r="AJ39" s="222"/>
      <c r="AK39" s="222"/>
      <c r="AL39" s="222"/>
      <c r="AM39" s="222"/>
      <c r="AN39" s="222" t="s">
        <v>410</v>
      </c>
      <c r="AO39" s="222"/>
      <c r="AP39" s="222"/>
      <c r="AQ39" s="222"/>
      <c r="AR39" s="222"/>
      <c r="AS39" s="222" t="s">
        <v>410</v>
      </c>
      <c r="AT39" s="222"/>
      <c r="AU39" s="222"/>
      <c r="AV39" s="232">
        <f t="shared" si="2"/>
        <v>10628.492</v>
      </c>
      <c r="AW39" s="233">
        <f t="shared" si="3"/>
        <v>0.48504020517875562</v>
      </c>
    </row>
    <row r="40" spans="1:49" ht="14.25" x14ac:dyDescent="0.2">
      <c r="A40" s="144" t="s">
        <v>134</v>
      </c>
      <c r="B40" s="230">
        <v>20187</v>
      </c>
      <c r="C40" s="144" t="s">
        <v>133</v>
      </c>
      <c r="D40" s="144" t="s">
        <v>213</v>
      </c>
      <c r="E40" s="145">
        <v>21912.6</v>
      </c>
      <c r="F40" s="129">
        <f t="shared" si="0"/>
        <v>21912.6</v>
      </c>
      <c r="G40" s="144" t="s">
        <v>117</v>
      </c>
      <c r="H40" s="170">
        <f t="shared" si="1"/>
        <v>0</v>
      </c>
      <c r="I40" s="135"/>
      <c r="J40" s="146" t="s">
        <v>134</v>
      </c>
      <c r="K40" s="146" t="s">
        <v>133</v>
      </c>
      <c r="L40" s="147">
        <v>0</v>
      </c>
      <c r="M40" s="147">
        <v>780</v>
      </c>
      <c r="N40" s="147">
        <v>0</v>
      </c>
      <c r="O40" s="147">
        <v>666</v>
      </c>
      <c r="P40" s="147">
        <v>4.9000000000000004</v>
      </c>
      <c r="Q40" s="164">
        <v>0.28999999999999998</v>
      </c>
      <c r="R40" s="147">
        <v>2</v>
      </c>
      <c r="S40" s="146" t="s">
        <v>334</v>
      </c>
      <c r="Z40" s="222" t="s">
        <v>410</v>
      </c>
      <c r="AA40" s="222" t="s">
        <v>410</v>
      </c>
      <c r="AB40" s="222" t="s">
        <v>410</v>
      </c>
      <c r="AC40" s="222" t="s">
        <v>410</v>
      </c>
      <c r="AD40" s="222" t="s">
        <v>410</v>
      </c>
      <c r="AE40" s="222"/>
      <c r="AF40" s="222"/>
      <c r="AG40" s="222"/>
      <c r="AH40" s="222"/>
      <c r="AI40" s="222"/>
      <c r="AJ40" s="222"/>
      <c r="AK40" s="222"/>
      <c r="AL40" s="222"/>
      <c r="AM40" s="222"/>
      <c r="AN40" s="222" t="s">
        <v>410</v>
      </c>
      <c r="AO40" s="222"/>
      <c r="AP40" s="222"/>
      <c r="AQ40" s="222"/>
      <c r="AR40" s="222"/>
      <c r="AS40" s="222" t="s">
        <v>410</v>
      </c>
      <c r="AT40" s="222"/>
      <c r="AU40" s="222"/>
      <c r="AV40" s="232">
        <f t="shared" si="2"/>
        <v>20752.235999999997</v>
      </c>
      <c r="AW40" s="233">
        <f t="shared" si="3"/>
        <v>0.94704580926042548</v>
      </c>
    </row>
    <row r="41" spans="1:49" ht="14.25" x14ac:dyDescent="0.2">
      <c r="A41" s="144" t="s">
        <v>135</v>
      </c>
      <c r="B41" s="230">
        <v>27726</v>
      </c>
      <c r="C41" s="144" t="s">
        <v>133</v>
      </c>
      <c r="D41" s="144" t="s">
        <v>216</v>
      </c>
      <c r="E41" s="145">
        <v>30677.65</v>
      </c>
      <c r="F41" s="129">
        <f t="shared" si="0"/>
        <v>30677.650000000005</v>
      </c>
      <c r="G41" s="144" t="s">
        <v>117</v>
      </c>
      <c r="H41" s="170">
        <f t="shared" si="1"/>
        <v>0</v>
      </c>
      <c r="I41" s="135"/>
      <c r="J41" s="146" t="s">
        <v>135</v>
      </c>
      <c r="K41" s="146" t="s">
        <v>133</v>
      </c>
      <c r="L41" s="147">
        <v>0</v>
      </c>
      <c r="M41" s="147">
        <v>810</v>
      </c>
      <c r="N41" s="147">
        <v>0</v>
      </c>
      <c r="O41" s="147">
        <v>657</v>
      </c>
      <c r="P41" s="147">
        <v>14.6</v>
      </c>
      <c r="Q41" s="164">
        <v>0.86</v>
      </c>
      <c r="R41" s="147">
        <v>3</v>
      </c>
      <c r="S41" s="146" t="s">
        <v>334</v>
      </c>
      <c r="Z41" s="222" t="s">
        <v>410</v>
      </c>
      <c r="AA41" s="222" t="s">
        <v>410</v>
      </c>
      <c r="AB41" s="222" t="s">
        <v>410</v>
      </c>
      <c r="AC41" s="222" t="s">
        <v>410</v>
      </c>
      <c r="AD41" s="222" t="s">
        <v>410</v>
      </c>
      <c r="AE41" s="222"/>
      <c r="AF41" s="222"/>
      <c r="AG41" s="222"/>
      <c r="AH41" s="222"/>
      <c r="AI41" s="222"/>
      <c r="AJ41" s="222"/>
      <c r="AK41" s="222"/>
      <c r="AL41" s="222"/>
      <c r="AM41" s="222"/>
      <c r="AN41" s="222" t="s">
        <v>410</v>
      </c>
      <c r="AO41" s="222"/>
      <c r="AP41" s="222"/>
      <c r="AQ41" s="222"/>
      <c r="AR41" s="222"/>
      <c r="AS41" s="222" t="s">
        <v>410</v>
      </c>
      <c r="AT41" s="222"/>
      <c r="AU41" s="222"/>
      <c r="AV41" s="232">
        <f t="shared" si="2"/>
        <v>28502.327999999998</v>
      </c>
      <c r="AW41" s="233">
        <f t="shared" si="3"/>
        <v>0.92909098317504746</v>
      </c>
    </row>
    <row r="42" spans="1:49" ht="14.25" x14ac:dyDescent="0.2">
      <c r="A42" s="144" t="s">
        <v>136</v>
      </c>
      <c r="B42" s="230">
        <v>16853</v>
      </c>
      <c r="C42" s="144" t="s">
        <v>137</v>
      </c>
      <c r="D42" s="144" t="s">
        <v>138</v>
      </c>
      <c r="E42" s="145">
        <v>21912.6</v>
      </c>
      <c r="F42" s="129">
        <f t="shared" si="0"/>
        <v>21912.6</v>
      </c>
      <c r="G42" s="144" t="s">
        <v>117</v>
      </c>
      <c r="H42" s="170">
        <f t="shared" si="1"/>
        <v>0</v>
      </c>
      <c r="I42" s="135"/>
      <c r="J42" s="146" t="s">
        <v>136</v>
      </c>
      <c r="K42" s="146" t="s">
        <v>287</v>
      </c>
      <c r="L42" s="147">
        <v>0</v>
      </c>
      <c r="M42" s="147">
        <v>400</v>
      </c>
      <c r="N42" s="147">
        <v>0</v>
      </c>
      <c r="O42" s="147">
        <v>349</v>
      </c>
      <c r="P42" s="147">
        <v>14.6</v>
      </c>
      <c r="Q42" s="164">
        <v>0.86</v>
      </c>
      <c r="R42" s="147">
        <v>1</v>
      </c>
      <c r="S42" s="146"/>
      <c r="Z42" s="222" t="s">
        <v>410</v>
      </c>
      <c r="AA42" s="222" t="s">
        <v>410</v>
      </c>
      <c r="AB42" s="222" t="s">
        <v>410</v>
      </c>
      <c r="AC42" s="222" t="s">
        <v>410</v>
      </c>
      <c r="AD42" s="222" t="s">
        <v>410</v>
      </c>
      <c r="AE42" s="222"/>
      <c r="AF42" s="222"/>
      <c r="AG42" s="222"/>
      <c r="AH42" s="222"/>
      <c r="AI42" s="222"/>
      <c r="AJ42" s="222"/>
      <c r="AK42" s="222"/>
      <c r="AL42" s="222"/>
      <c r="AM42" s="222"/>
      <c r="AN42" s="222" t="s">
        <v>410</v>
      </c>
      <c r="AO42" s="222"/>
      <c r="AP42" s="222"/>
      <c r="AQ42" s="222"/>
      <c r="AR42" s="222"/>
      <c r="AS42" s="222" t="s">
        <v>410</v>
      </c>
      <c r="AT42" s="222"/>
      <c r="AU42" s="222"/>
      <c r="AV42" s="232">
        <f t="shared" si="2"/>
        <v>17324.883999999998</v>
      </c>
      <c r="AW42" s="233">
        <f t="shared" si="3"/>
        <v>0.79063570730994948</v>
      </c>
    </row>
    <row r="43" spans="1:49" ht="14.25" x14ac:dyDescent="0.2">
      <c r="A43" s="144" t="s">
        <v>139</v>
      </c>
      <c r="B43" s="145">
        <v>75.8</v>
      </c>
      <c r="C43" s="144" t="s">
        <v>283</v>
      </c>
      <c r="D43" s="144" t="s">
        <v>130</v>
      </c>
      <c r="E43" s="145">
        <v>76.75</v>
      </c>
      <c r="F43" s="129">
        <f t="shared" si="0"/>
        <v>76.75</v>
      </c>
      <c r="G43" s="144" t="s">
        <v>99</v>
      </c>
      <c r="H43" s="170">
        <f t="shared" si="1"/>
        <v>0</v>
      </c>
      <c r="I43" s="135"/>
      <c r="J43" s="146" t="s">
        <v>139</v>
      </c>
      <c r="K43" s="146" t="s">
        <v>283</v>
      </c>
      <c r="L43" s="147">
        <v>0</v>
      </c>
      <c r="M43" s="147">
        <v>2</v>
      </c>
      <c r="N43" s="147">
        <v>0</v>
      </c>
      <c r="O43" s="147">
        <v>1.54</v>
      </c>
      <c r="P43" s="147">
        <v>0.61</v>
      </c>
      <c r="Q43" s="164">
        <v>8.1000000000000013E-3</v>
      </c>
      <c r="R43" s="147">
        <v>0</v>
      </c>
      <c r="S43" s="146"/>
      <c r="Z43" s="222"/>
      <c r="AA43" s="222"/>
      <c r="AB43" s="222"/>
      <c r="AC43" s="222"/>
      <c r="AD43" s="222"/>
      <c r="AE43" s="222"/>
      <c r="AF43" s="222"/>
      <c r="AG43" s="222"/>
      <c r="AH43" s="222"/>
      <c r="AI43" s="222"/>
      <c r="AJ43" s="222"/>
      <c r="AK43" s="222"/>
      <c r="AL43" s="222" t="s">
        <v>410</v>
      </c>
      <c r="AM43" s="222"/>
      <c r="AN43" s="222" t="s">
        <v>410</v>
      </c>
      <c r="AO43" s="222"/>
      <c r="AP43" s="222"/>
      <c r="AQ43" s="222"/>
      <c r="AR43" s="222"/>
      <c r="AS43" s="222"/>
      <c r="AT43" s="222"/>
      <c r="AU43" s="222"/>
      <c r="AV43" s="232">
        <f t="shared" si="2"/>
        <v>77.922399999999996</v>
      </c>
      <c r="AW43" s="233">
        <f t="shared" si="3"/>
        <v>1.0152755700325733</v>
      </c>
    </row>
    <row r="44" spans="1:49" ht="14.25" x14ac:dyDescent="0.2">
      <c r="A44" s="144" t="s">
        <v>140</v>
      </c>
      <c r="B44" s="145" t="s">
        <v>85</v>
      </c>
      <c r="C44" s="144"/>
      <c r="D44" s="144" t="s">
        <v>103</v>
      </c>
      <c r="E44" s="145" t="s">
        <v>85</v>
      </c>
      <c r="F44" s="129" t="str">
        <f t="shared" si="0"/>
        <v>FPA</v>
      </c>
      <c r="G44" s="144" t="s">
        <v>99</v>
      </c>
      <c r="H44" s="170">
        <f t="shared" si="1"/>
        <v>0</v>
      </c>
      <c r="I44" s="135"/>
      <c r="J44" s="146" t="s">
        <v>140</v>
      </c>
      <c r="K44" s="146" t="s">
        <v>283</v>
      </c>
      <c r="L44" s="147">
        <v>0</v>
      </c>
      <c r="M44" s="147">
        <v>4.75</v>
      </c>
      <c r="N44" s="147">
        <v>0</v>
      </c>
      <c r="O44" s="147">
        <v>2.38</v>
      </c>
      <c r="P44" s="147">
        <v>0.1</v>
      </c>
      <c r="Q44" s="164">
        <v>0</v>
      </c>
      <c r="R44" s="147">
        <v>0</v>
      </c>
      <c r="S44" s="146"/>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32" t="e">
        <f t="shared" si="2"/>
        <v>#VALUE!</v>
      </c>
      <c r="AW44" s="233" t="e">
        <f t="shared" si="3"/>
        <v>#VALUE!</v>
      </c>
    </row>
    <row r="45" spans="1:49" ht="14.25" x14ac:dyDescent="0.2">
      <c r="A45" s="144" t="s">
        <v>141</v>
      </c>
      <c r="B45" s="145">
        <v>0</v>
      </c>
      <c r="C45" s="144" t="s">
        <v>105</v>
      </c>
      <c r="D45" s="144" t="s">
        <v>106</v>
      </c>
      <c r="E45" s="145">
        <v>0</v>
      </c>
      <c r="F45" s="129">
        <f t="shared" si="0"/>
        <v>0</v>
      </c>
      <c r="G45" s="144" t="s">
        <v>99</v>
      </c>
      <c r="H45" s="170">
        <f t="shared" si="1"/>
        <v>0</v>
      </c>
      <c r="I45" s="135"/>
      <c r="J45" s="146" t="s">
        <v>141</v>
      </c>
      <c r="K45" s="146" t="s">
        <v>85</v>
      </c>
      <c r="L45" s="147">
        <v>0</v>
      </c>
      <c r="M45" s="147">
        <v>0</v>
      </c>
      <c r="N45" s="147">
        <v>0</v>
      </c>
      <c r="O45" s="147">
        <v>0</v>
      </c>
      <c r="P45" s="147">
        <v>0</v>
      </c>
      <c r="Q45" s="164">
        <v>0</v>
      </c>
      <c r="R45" s="147">
        <v>0</v>
      </c>
      <c r="S45" s="146"/>
      <c r="Z45" s="222"/>
      <c r="AA45" s="222"/>
      <c r="AB45" s="222"/>
      <c r="AC45" s="222" t="s">
        <v>410</v>
      </c>
      <c r="AD45" s="222"/>
      <c r="AE45" s="222"/>
      <c r="AF45" s="222"/>
      <c r="AG45" s="222"/>
      <c r="AH45" s="222"/>
      <c r="AI45" s="222"/>
      <c r="AJ45" s="222"/>
      <c r="AK45" s="222"/>
      <c r="AL45" s="222"/>
      <c r="AM45" s="222"/>
      <c r="AN45" s="222"/>
      <c r="AO45" s="222"/>
      <c r="AP45" s="222"/>
      <c r="AQ45" s="222"/>
      <c r="AR45" s="222"/>
      <c r="AS45" s="222"/>
      <c r="AT45" s="222" t="s">
        <v>410</v>
      </c>
      <c r="AU45" s="222"/>
      <c r="AV45" s="232">
        <f t="shared" si="2"/>
        <v>0</v>
      </c>
      <c r="AW45" s="233" t="e">
        <f t="shared" si="3"/>
        <v>#DIV/0!</v>
      </c>
    </row>
    <row r="46" spans="1:49" ht="14.25" x14ac:dyDescent="0.2">
      <c r="A46" s="144" t="s">
        <v>142</v>
      </c>
      <c r="B46" s="145" t="s">
        <v>85</v>
      </c>
      <c r="C46" s="144" t="s">
        <v>283</v>
      </c>
      <c r="D46" s="144" t="s">
        <v>143</v>
      </c>
      <c r="E46" s="145">
        <v>153.4</v>
      </c>
      <c r="F46" s="129">
        <f t="shared" si="0"/>
        <v>153.4</v>
      </c>
      <c r="G46" s="144" t="s">
        <v>99</v>
      </c>
      <c r="H46" s="170">
        <f t="shared" si="1"/>
        <v>0</v>
      </c>
      <c r="I46" s="135"/>
      <c r="J46" s="146" t="s">
        <v>142</v>
      </c>
      <c r="K46" s="146" t="s">
        <v>85</v>
      </c>
      <c r="L46" s="147">
        <v>0</v>
      </c>
      <c r="M46" s="147">
        <v>0</v>
      </c>
      <c r="N46" s="147">
        <v>0</v>
      </c>
      <c r="O46" s="147">
        <v>0</v>
      </c>
      <c r="P46" s="147">
        <v>0</v>
      </c>
      <c r="Q46" s="164">
        <v>0</v>
      </c>
      <c r="R46" s="147">
        <v>0</v>
      </c>
      <c r="S46" s="146"/>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32" t="e">
        <f t="shared" si="2"/>
        <v>#VALUE!</v>
      </c>
      <c r="AW46" s="233" t="e">
        <f t="shared" si="3"/>
        <v>#VALUE!</v>
      </c>
    </row>
    <row r="47" spans="1:49" ht="14.25" x14ac:dyDescent="0.2">
      <c r="A47" s="144" t="s">
        <v>144</v>
      </c>
      <c r="B47" s="230">
        <v>14299</v>
      </c>
      <c r="C47" s="144" t="s">
        <v>115</v>
      </c>
      <c r="D47" s="144" t="s">
        <v>116</v>
      </c>
      <c r="E47" s="145">
        <v>21912.6</v>
      </c>
      <c r="F47" s="129">
        <f t="shared" si="0"/>
        <v>21912.6</v>
      </c>
      <c r="G47" s="144" t="s">
        <v>117</v>
      </c>
      <c r="H47" s="170">
        <f t="shared" si="1"/>
        <v>0</v>
      </c>
      <c r="I47" s="135"/>
      <c r="J47" s="146" t="s">
        <v>144</v>
      </c>
      <c r="K47" s="146" t="s">
        <v>115</v>
      </c>
      <c r="L47" s="147">
        <v>0</v>
      </c>
      <c r="M47" s="147">
        <v>859</v>
      </c>
      <c r="N47" s="147">
        <v>0</v>
      </c>
      <c r="O47" s="147">
        <v>304</v>
      </c>
      <c r="P47" s="147">
        <v>3.2</v>
      </c>
      <c r="Q47" s="164">
        <v>0.27</v>
      </c>
      <c r="R47" s="147">
        <v>1.2</v>
      </c>
      <c r="S47" s="146"/>
      <c r="Z47" s="222" t="s">
        <v>410</v>
      </c>
      <c r="AA47" s="222" t="s">
        <v>410</v>
      </c>
      <c r="AB47" s="222" t="s">
        <v>410</v>
      </c>
      <c r="AC47" s="222"/>
      <c r="AD47" s="222" t="s">
        <v>410</v>
      </c>
      <c r="AE47" s="222"/>
      <c r="AF47" s="222"/>
      <c r="AG47" s="222"/>
      <c r="AH47" s="222"/>
      <c r="AI47" s="222"/>
      <c r="AJ47" s="222"/>
      <c r="AK47" s="222"/>
      <c r="AL47" s="222" t="s">
        <v>410</v>
      </c>
      <c r="AM47" s="222"/>
      <c r="AN47" s="222"/>
      <c r="AO47" s="222"/>
      <c r="AP47" s="222"/>
      <c r="AQ47" s="222"/>
      <c r="AR47" s="222"/>
      <c r="AS47" s="222"/>
      <c r="AT47" s="222"/>
      <c r="AU47" s="222"/>
      <c r="AV47" s="232">
        <f t="shared" si="2"/>
        <v>14699.371999999999</v>
      </c>
      <c r="AW47" s="233">
        <f t="shared" si="3"/>
        <v>0.67081825068681944</v>
      </c>
    </row>
    <row r="48" spans="1:49" ht="14.25" x14ac:dyDescent="0.2">
      <c r="A48" s="144" t="s">
        <v>145</v>
      </c>
      <c r="B48" s="230">
        <v>20176</v>
      </c>
      <c r="C48" s="144" t="s">
        <v>115</v>
      </c>
      <c r="D48" s="144" t="s">
        <v>116</v>
      </c>
      <c r="E48" s="145">
        <v>21912.6</v>
      </c>
      <c r="F48" s="129">
        <f t="shared" si="0"/>
        <v>21912.6</v>
      </c>
      <c r="G48" s="144" t="s">
        <v>117</v>
      </c>
      <c r="H48" s="170">
        <f t="shared" si="1"/>
        <v>0</v>
      </c>
      <c r="I48" s="135"/>
      <c r="J48" s="146" t="s">
        <v>145</v>
      </c>
      <c r="K48" s="146" t="s">
        <v>115</v>
      </c>
      <c r="L48" s="147">
        <v>0</v>
      </c>
      <c r="M48" s="147">
        <v>1215</v>
      </c>
      <c r="N48" s="147">
        <v>0</v>
      </c>
      <c r="O48" s="147">
        <v>424</v>
      </c>
      <c r="P48" s="147">
        <v>4.5</v>
      </c>
      <c r="Q48" s="164">
        <v>0.39</v>
      </c>
      <c r="R48" s="147">
        <v>1.7</v>
      </c>
      <c r="S48" s="146"/>
      <c r="Z48" s="222" t="s">
        <v>410</v>
      </c>
      <c r="AA48" s="222" t="s">
        <v>410</v>
      </c>
      <c r="AB48" s="222" t="s">
        <v>410</v>
      </c>
      <c r="AC48" s="222"/>
      <c r="AD48" s="222" t="s">
        <v>410</v>
      </c>
      <c r="AE48" s="222"/>
      <c r="AF48" s="222"/>
      <c r="AG48" s="222"/>
      <c r="AH48" s="222"/>
      <c r="AI48" s="222"/>
      <c r="AJ48" s="222"/>
      <c r="AK48" s="222"/>
      <c r="AL48" s="222" t="s">
        <v>410</v>
      </c>
      <c r="AM48" s="222"/>
      <c r="AN48" s="222"/>
      <c r="AO48" s="222"/>
      <c r="AP48" s="222"/>
      <c r="AQ48" s="222"/>
      <c r="AR48" s="222"/>
      <c r="AS48" s="222"/>
      <c r="AT48" s="222"/>
      <c r="AU48" s="222"/>
      <c r="AV48" s="232">
        <f t="shared" si="2"/>
        <v>20740.928</v>
      </c>
      <c r="AW48" s="233">
        <f t="shared" si="3"/>
        <v>0.94652975913401427</v>
      </c>
    </row>
    <row r="49" spans="1:49" ht="14.25" x14ac:dyDescent="0.2">
      <c r="A49" s="144" t="s">
        <v>146</v>
      </c>
      <c r="B49" s="230">
        <v>23428</v>
      </c>
      <c r="C49" s="144" t="s">
        <v>115</v>
      </c>
      <c r="D49" s="144" t="s">
        <v>120</v>
      </c>
      <c r="E49" s="145">
        <v>30677.65</v>
      </c>
      <c r="F49" s="129">
        <f t="shared" ref="F49:F80" si="6">IF(E49="FPA","FPA",E49*$F$6/$E$6)</f>
        <v>30677.650000000005</v>
      </c>
      <c r="G49" s="144" t="s">
        <v>117</v>
      </c>
      <c r="H49" s="170">
        <f t="shared" ref="H49:H80" si="7">+IF(B49="FPA",0,IF(B49&gt;F49,1,0))</f>
        <v>0</v>
      </c>
      <c r="I49" s="135"/>
      <c r="J49" s="146" t="s">
        <v>146</v>
      </c>
      <c r="K49" s="146" t="s">
        <v>115</v>
      </c>
      <c r="L49" s="147">
        <v>0</v>
      </c>
      <c r="M49" s="147">
        <v>1275</v>
      </c>
      <c r="N49" s="147">
        <v>0</v>
      </c>
      <c r="O49" s="147">
        <v>441</v>
      </c>
      <c r="P49" s="147">
        <v>6.4</v>
      </c>
      <c r="Q49" s="164">
        <v>0.55000000000000004</v>
      </c>
      <c r="R49" s="147">
        <v>2.4</v>
      </c>
      <c r="S49" s="146"/>
      <c r="Z49" s="222" t="s">
        <v>410</v>
      </c>
      <c r="AA49" s="222" t="s">
        <v>410</v>
      </c>
      <c r="AB49" s="222" t="s">
        <v>410</v>
      </c>
      <c r="AC49" s="222"/>
      <c r="AD49" s="222" t="s">
        <v>410</v>
      </c>
      <c r="AE49" s="222"/>
      <c r="AF49" s="222"/>
      <c r="AG49" s="222"/>
      <c r="AH49" s="222"/>
      <c r="AI49" s="222"/>
      <c r="AJ49" s="222"/>
      <c r="AK49" s="222"/>
      <c r="AL49" s="222" t="s">
        <v>410</v>
      </c>
      <c r="AM49" s="222"/>
      <c r="AN49" s="222"/>
      <c r="AO49" s="222"/>
      <c r="AP49" s="222"/>
      <c r="AQ49" s="222"/>
      <c r="AR49" s="222"/>
      <c r="AS49" s="222"/>
      <c r="AT49" s="222"/>
      <c r="AU49" s="222"/>
      <c r="AV49" s="232">
        <f t="shared" si="2"/>
        <v>24083.984</v>
      </c>
      <c r="AW49" s="233">
        <f t="shared" si="3"/>
        <v>0.785066131206269</v>
      </c>
    </row>
    <row r="50" spans="1:49" ht="14.25" x14ac:dyDescent="0.2">
      <c r="A50" s="144" t="s">
        <v>147</v>
      </c>
      <c r="B50" s="230">
        <v>16299</v>
      </c>
      <c r="C50" s="144" t="s">
        <v>115</v>
      </c>
      <c r="D50" s="144" t="s">
        <v>116</v>
      </c>
      <c r="E50" s="145">
        <v>21912.6</v>
      </c>
      <c r="F50" s="129">
        <f t="shared" si="6"/>
        <v>21912.6</v>
      </c>
      <c r="G50" s="144" t="s">
        <v>117</v>
      </c>
      <c r="H50" s="170">
        <f t="shared" si="7"/>
        <v>0</v>
      </c>
      <c r="I50" s="135"/>
      <c r="J50" s="146" t="s">
        <v>288</v>
      </c>
      <c r="K50" s="146" t="s">
        <v>115</v>
      </c>
      <c r="L50" s="147">
        <v>0</v>
      </c>
      <c r="M50" s="147">
        <v>825</v>
      </c>
      <c r="N50" s="147">
        <v>0</v>
      </c>
      <c r="O50" s="147">
        <v>326</v>
      </c>
      <c r="P50" s="147">
        <v>4.7</v>
      </c>
      <c r="Q50" s="164">
        <v>0.28000000000000003</v>
      </c>
      <c r="R50" s="147">
        <v>1.8</v>
      </c>
      <c r="S50" s="146"/>
      <c r="Z50" s="222"/>
      <c r="AA50" s="222"/>
      <c r="AB50" s="222"/>
      <c r="AC50" s="222"/>
      <c r="AD50" s="222"/>
      <c r="AE50" s="222"/>
      <c r="AF50" s="222"/>
      <c r="AG50" s="222"/>
      <c r="AH50" s="222"/>
      <c r="AI50" s="222"/>
      <c r="AJ50" s="222"/>
      <c r="AK50" s="222"/>
      <c r="AL50" s="222" t="s">
        <v>410</v>
      </c>
      <c r="AM50" s="222"/>
      <c r="AN50" s="222"/>
      <c r="AO50" s="222"/>
      <c r="AP50" s="222"/>
      <c r="AQ50" s="222"/>
      <c r="AR50" s="222"/>
      <c r="AS50" s="222"/>
      <c r="AT50" s="222"/>
      <c r="AU50" s="222"/>
      <c r="AV50" s="232">
        <f t="shared" si="2"/>
        <v>16755.371999999999</v>
      </c>
      <c r="AW50" s="233">
        <f t="shared" si="3"/>
        <v>0.76464554639796289</v>
      </c>
    </row>
    <row r="51" spans="1:49" ht="14.25" x14ac:dyDescent="0.2">
      <c r="A51" s="144" t="s">
        <v>148</v>
      </c>
      <c r="B51" s="145">
        <v>21889</v>
      </c>
      <c r="C51" s="144" t="s">
        <v>115</v>
      </c>
      <c r="D51" s="144" t="s">
        <v>120</v>
      </c>
      <c r="E51" s="145">
        <v>30677.65</v>
      </c>
      <c r="F51" s="129">
        <f t="shared" si="6"/>
        <v>30677.650000000005</v>
      </c>
      <c r="G51" s="144" t="s">
        <v>117</v>
      </c>
      <c r="H51" s="170">
        <f t="shared" si="7"/>
        <v>0</v>
      </c>
      <c r="I51" s="135"/>
      <c r="J51" s="146" t="s">
        <v>289</v>
      </c>
      <c r="K51" s="146" t="s">
        <v>115</v>
      </c>
      <c r="L51" s="147">
        <v>0</v>
      </c>
      <c r="M51" s="147">
        <v>650</v>
      </c>
      <c r="N51" s="147">
        <v>0</v>
      </c>
      <c r="O51" s="147">
        <v>631</v>
      </c>
      <c r="P51" s="147">
        <v>7.3</v>
      </c>
      <c r="Q51" s="164">
        <v>0.43</v>
      </c>
      <c r="R51" s="147">
        <v>2.8</v>
      </c>
      <c r="S51" s="146"/>
      <c r="Z51" s="222"/>
      <c r="AA51" s="222"/>
      <c r="AB51" s="222"/>
      <c r="AC51" s="222"/>
      <c r="AD51" s="222"/>
      <c r="AE51" s="222"/>
      <c r="AF51" s="222"/>
      <c r="AG51" s="222"/>
      <c r="AH51" s="222"/>
      <c r="AI51" s="222"/>
      <c r="AJ51" s="222"/>
      <c r="AK51" s="222"/>
      <c r="AL51" s="222" t="s">
        <v>410</v>
      </c>
      <c r="AM51" s="222"/>
      <c r="AN51" s="222"/>
      <c r="AO51" s="222"/>
      <c r="AP51" s="222"/>
      <c r="AQ51" s="222"/>
      <c r="AR51" s="222"/>
      <c r="AS51" s="222"/>
      <c r="AT51" s="222"/>
      <c r="AU51" s="222"/>
      <c r="AV51" s="232">
        <f t="shared" si="2"/>
        <v>22501.891999999996</v>
      </c>
      <c r="AW51" s="233">
        <f t="shared" si="3"/>
        <v>0.73349464512438189</v>
      </c>
    </row>
    <row r="52" spans="1:49" ht="14.25" x14ac:dyDescent="0.2">
      <c r="A52" s="144" t="s">
        <v>149</v>
      </c>
      <c r="B52" s="145">
        <v>22453</v>
      </c>
      <c r="C52" s="144" t="s">
        <v>115</v>
      </c>
      <c r="D52" s="144" t="s">
        <v>120</v>
      </c>
      <c r="E52" s="145">
        <v>30677.65</v>
      </c>
      <c r="F52" s="129">
        <f t="shared" si="6"/>
        <v>30677.650000000005</v>
      </c>
      <c r="G52" s="144" t="s">
        <v>117</v>
      </c>
      <c r="H52" s="170">
        <f t="shared" si="7"/>
        <v>0</v>
      </c>
      <c r="I52" s="135"/>
      <c r="J52" s="146" t="s">
        <v>290</v>
      </c>
      <c r="K52" s="146" t="s">
        <v>115</v>
      </c>
      <c r="L52" s="147">
        <v>0</v>
      </c>
      <c r="M52" s="147">
        <v>725</v>
      </c>
      <c r="N52" s="147">
        <v>0</v>
      </c>
      <c r="O52" s="147">
        <v>631</v>
      </c>
      <c r="P52" s="147">
        <v>7.3</v>
      </c>
      <c r="Q52" s="164">
        <v>0.43</v>
      </c>
      <c r="R52" s="147">
        <v>2.8</v>
      </c>
      <c r="S52" s="146"/>
      <c r="Z52" s="222"/>
      <c r="AA52" s="222"/>
      <c r="AB52" s="222"/>
      <c r="AC52" s="222"/>
      <c r="AD52" s="222"/>
      <c r="AE52" s="222"/>
      <c r="AF52" s="222"/>
      <c r="AG52" s="222"/>
      <c r="AH52" s="222"/>
      <c r="AI52" s="222"/>
      <c r="AJ52" s="222"/>
      <c r="AK52" s="222"/>
      <c r="AL52" s="222" t="s">
        <v>410</v>
      </c>
      <c r="AM52" s="222"/>
      <c r="AN52" s="222"/>
      <c r="AO52" s="222"/>
      <c r="AP52" s="222"/>
      <c r="AQ52" s="222"/>
      <c r="AR52" s="222"/>
      <c r="AS52" s="222"/>
      <c r="AT52" s="222"/>
      <c r="AU52" s="222"/>
      <c r="AV52" s="232">
        <f t="shared" si="2"/>
        <v>23081.683999999997</v>
      </c>
      <c r="AW52" s="233">
        <f t="shared" si="3"/>
        <v>0.75239413709981029</v>
      </c>
    </row>
    <row r="53" spans="1:49" ht="14.25" x14ac:dyDescent="0.2">
      <c r="A53" s="144" t="s">
        <v>150</v>
      </c>
      <c r="B53" s="145">
        <v>24351</v>
      </c>
      <c r="C53" s="144" t="s">
        <v>115</v>
      </c>
      <c r="D53" s="144" t="s">
        <v>120</v>
      </c>
      <c r="E53" s="145">
        <v>30677.65</v>
      </c>
      <c r="F53" s="129">
        <f t="shared" si="6"/>
        <v>30677.650000000005</v>
      </c>
      <c r="G53" s="144" t="s">
        <v>117</v>
      </c>
      <c r="H53" s="170">
        <f t="shared" si="7"/>
        <v>0</v>
      </c>
      <c r="I53" s="135"/>
      <c r="J53" s="146" t="s">
        <v>291</v>
      </c>
      <c r="K53" s="146" t="s">
        <v>115</v>
      </c>
      <c r="L53" s="147">
        <v>0</v>
      </c>
      <c r="M53" s="150">
        <v>975</v>
      </c>
      <c r="N53" s="147">
        <v>0</v>
      </c>
      <c r="O53" s="150">
        <v>631</v>
      </c>
      <c r="P53" s="150">
        <v>7.3</v>
      </c>
      <c r="Q53" s="165">
        <v>0.43</v>
      </c>
      <c r="R53" s="150">
        <v>2.8</v>
      </c>
      <c r="S53" s="146"/>
      <c r="Z53" s="222"/>
      <c r="AA53" s="222"/>
      <c r="AB53" s="222"/>
      <c r="AC53" s="222"/>
      <c r="AD53" s="222"/>
      <c r="AE53" s="222"/>
      <c r="AF53" s="222"/>
      <c r="AG53" s="222"/>
      <c r="AH53" s="222"/>
      <c r="AI53" s="222"/>
      <c r="AJ53" s="222"/>
      <c r="AK53" s="222"/>
      <c r="AL53" s="222" t="s">
        <v>410</v>
      </c>
      <c r="AM53" s="222"/>
      <c r="AN53" s="222"/>
      <c r="AO53" s="222"/>
      <c r="AP53" s="222"/>
      <c r="AQ53" s="222"/>
      <c r="AR53" s="222"/>
      <c r="AS53" s="222"/>
      <c r="AT53" s="222"/>
      <c r="AU53" s="222"/>
      <c r="AV53" s="232">
        <f t="shared" si="2"/>
        <v>25032.827999999998</v>
      </c>
      <c r="AW53" s="233">
        <f t="shared" si="3"/>
        <v>0.81599561896038308</v>
      </c>
    </row>
    <row r="54" spans="1:49" s="161" customFormat="1" ht="14.25" x14ac:dyDescent="0.2">
      <c r="A54" s="144" t="s">
        <v>381</v>
      </c>
      <c r="B54" s="145">
        <v>26915</v>
      </c>
      <c r="C54" s="144" t="s">
        <v>115</v>
      </c>
      <c r="D54" s="159" t="s">
        <v>120</v>
      </c>
      <c r="E54" s="160">
        <v>30677.65</v>
      </c>
      <c r="F54" s="129">
        <f t="shared" si="6"/>
        <v>30677.650000000005</v>
      </c>
      <c r="G54" s="159" t="s">
        <v>117</v>
      </c>
      <c r="H54" s="170">
        <f t="shared" si="7"/>
        <v>0</v>
      </c>
      <c r="I54" s="135"/>
      <c r="J54" s="149" t="s">
        <v>387</v>
      </c>
      <c r="K54" s="149" t="s">
        <v>115</v>
      </c>
      <c r="L54" s="147">
        <v>0</v>
      </c>
      <c r="M54" s="147">
        <f t="shared" ref="M54:R54" si="8">+(M53+M55)/2</f>
        <v>1312.5</v>
      </c>
      <c r="N54" s="147">
        <v>0</v>
      </c>
      <c r="O54" s="147">
        <f t="shared" si="8"/>
        <v>631</v>
      </c>
      <c r="P54" s="147">
        <f t="shared" si="8"/>
        <v>7.3</v>
      </c>
      <c r="Q54" s="147">
        <f t="shared" si="8"/>
        <v>0.43</v>
      </c>
      <c r="R54" s="147">
        <f t="shared" si="8"/>
        <v>2.8</v>
      </c>
      <c r="S54" s="149"/>
      <c r="Z54" s="222"/>
      <c r="AA54" s="222"/>
      <c r="AB54" s="222"/>
      <c r="AC54" s="222"/>
      <c r="AD54" s="222"/>
      <c r="AE54" s="222"/>
      <c r="AF54" s="222"/>
      <c r="AG54" s="222"/>
      <c r="AH54" s="222"/>
      <c r="AI54" s="222"/>
      <c r="AJ54" s="222"/>
      <c r="AK54" s="222"/>
      <c r="AL54" s="222" t="s">
        <v>410</v>
      </c>
      <c r="AM54" s="222"/>
      <c r="AN54" s="222"/>
      <c r="AO54" s="222"/>
      <c r="AP54" s="222"/>
      <c r="AQ54" s="222"/>
      <c r="AR54" s="222"/>
      <c r="AS54" s="222"/>
      <c r="AT54" s="222"/>
      <c r="AU54" s="222"/>
      <c r="AV54" s="232">
        <f t="shared" si="2"/>
        <v>27668.62</v>
      </c>
      <c r="AW54" s="233">
        <f t="shared" si="3"/>
        <v>0.90191458602598296</v>
      </c>
    </row>
    <row r="55" spans="1:49" s="161" customFormat="1" ht="14.25" x14ac:dyDescent="0.2">
      <c r="A55" s="144" t="s">
        <v>382</v>
      </c>
      <c r="B55" s="145">
        <v>29480</v>
      </c>
      <c r="C55" s="144" t="s">
        <v>115</v>
      </c>
      <c r="D55" s="159" t="s">
        <v>120</v>
      </c>
      <c r="E55" s="160">
        <v>30677.65</v>
      </c>
      <c r="F55" s="129">
        <f t="shared" si="6"/>
        <v>30677.650000000005</v>
      </c>
      <c r="G55" s="159" t="s">
        <v>117</v>
      </c>
      <c r="H55" s="170">
        <f t="shared" si="7"/>
        <v>0</v>
      </c>
      <c r="I55" s="135"/>
      <c r="J55" s="149" t="s">
        <v>390</v>
      </c>
      <c r="K55" s="149" t="s">
        <v>115</v>
      </c>
      <c r="L55" s="147">
        <v>0</v>
      </c>
      <c r="M55" s="150">
        <v>1650</v>
      </c>
      <c r="N55" s="147">
        <v>0</v>
      </c>
      <c r="O55" s="150">
        <v>631</v>
      </c>
      <c r="P55" s="150">
        <v>7.3</v>
      </c>
      <c r="Q55" s="165">
        <v>0.43</v>
      </c>
      <c r="R55" s="150">
        <v>2.8</v>
      </c>
      <c r="S55" s="149"/>
      <c r="Z55" s="222"/>
      <c r="AA55" s="222"/>
      <c r="AB55" s="222"/>
      <c r="AC55" s="222"/>
      <c r="AD55" s="222"/>
      <c r="AE55" s="222"/>
      <c r="AF55" s="222"/>
      <c r="AG55" s="222"/>
      <c r="AH55" s="222"/>
      <c r="AI55" s="222"/>
      <c r="AJ55" s="222"/>
      <c r="AK55" s="222"/>
      <c r="AL55" s="222" t="s">
        <v>410</v>
      </c>
      <c r="AM55" s="222"/>
      <c r="AN55" s="222"/>
      <c r="AO55" s="222"/>
      <c r="AP55" s="222"/>
      <c r="AQ55" s="222"/>
      <c r="AR55" s="222"/>
      <c r="AS55" s="222"/>
      <c r="AT55" s="222"/>
      <c r="AU55" s="222"/>
      <c r="AV55" s="232">
        <f t="shared" si="2"/>
        <v>30305.439999999999</v>
      </c>
      <c r="AW55" s="233">
        <f t="shared" si="3"/>
        <v>0.98786706282912795</v>
      </c>
    </row>
    <row r="56" spans="1:49" ht="14.25" x14ac:dyDescent="0.2">
      <c r="A56" s="144" t="s">
        <v>151</v>
      </c>
      <c r="B56" s="230">
        <v>9519</v>
      </c>
      <c r="C56" s="144" t="s">
        <v>115</v>
      </c>
      <c r="D56" s="144" t="s">
        <v>116</v>
      </c>
      <c r="E56" s="145">
        <v>21912.6</v>
      </c>
      <c r="F56" s="129">
        <f t="shared" si="6"/>
        <v>21912.6</v>
      </c>
      <c r="G56" s="144" t="s">
        <v>117</v>
      </c>
      <c r="H56" s="170">
        <f t="shared" si="7"/>
        <v>0</v>
      </c>
      <c r="I56" s="135"/>
      <c r="J56" s="146" t="s">
        <v>151</v>
      </c>
      <c r="K56" s="146" t="s">
        <v>115</v>
      </c>
      <c r="L56" s="147">
        <v>0</v>
      </c>
      <c r="M56" s="147">
        <v>532</v>
      </c>
      <c r="N56" s="147">
        <v>0</v>
      </c>
      <c r="O56" s="147">
        <v>188</v>
      </c>
      <c r="P56" s="147">
        <v>3.2</v>
      </c>
      <c r="Q56" s="164">
        <v>0.27</v>
      </c>
      <c r="R56" s="147">
        <v>1.2</v>
      </c>
      <c r="S56" s="146"/>
      <c r="Z56" s="222" t="s">
        <v>410</v>
      </c>
      <c r="AA56" s="222" t="s">
        <v>410</v>
      </c>
      <c r="AB56" s="222" t="s">
        <v>410</v>
      </c>
      <c r="AC56" s="222"/>
      <c r="AD56" s="222"/>
      <c r="AE56" s="222"/>
      <c r="AF56" s="222"/>
      <c r="AG56" s="222"/>
      <c r="AH56" s="222"/>
      <c r="AI56" s="222"/>
      <c r="AJ56" s="222"/>
      <c r="AK56" s="222"/>
      <c r="AL56" s="222"/>
      <c r="AM56" s="222"/>
      <c r="AN56" s="222"/>
      <c r="AO56" s="222"/>
      <c r="AP56" s="222"/>
      <c r="AQ56" s="222"/>
      <c r="AR56" s="222"/>
      <c r="AS56" s="222"/>
      <c r="AT56" s="222"/>
      <c r="AU56" s="222"/>
      <c r="AV56" s="232">
        <f t="shared" si="2"/>
        <v>9785.5319999999992</v>
      </c>
      <c r="AW56" s="233">
        <f t="shared" si="3"/>
        <v>0.44657101393718684</v>
      </c>
    </row>
    <row r="57" spans="1:49" ht="14.25" x14ac:dyDescent="0.2">
      <c r="A57" s="144" t="s">
        <v>152</v>
      </c>
      <c r="B57" s="230">
        <v>13981</v>
      </c>
      <c r="C57" s="144" t="s">
        <v>115</v>
      </c>
      <c r="D57" s="144" t="s">
        <v>116</v>
      </c>
      <c r="E57" s="145">
        <v>21912.6</v>
      </c>
      <c r="F57" s="129">
        <f t="shared" si="6"/>
        <v>21912.6</v>
      </c>
      <c r="G57" s="144" t="s">
        <v>117</v>
      </c>
      <c r="H57" s="170">
        <f t="shared" si="7"/>
        <v>0</v>
      </c>
      <c r="I57" s="135"/>
      <c r="J57" s="146" t="s">
        <v>152</v>
      </c>
      <c r="K57" s="146" t="s">
        <v>115</v>
      </c>
      <c r="L57" s="147">
        <v>0</v>
      </c>
      <c r="M57" s="147">
        <v>752</v>
      </c>
      <c r="N57" s="147">
        <v>0</v>
      </c>
      <c r="O57" s="147">
        <v>262</v>
      </c>
      <c r="P57" s="147">
        <v>4.5</v>
      </c>
      <c r="Q57" s="164">
        <v>0.39</v>
      </c>
      <c r="R57" s="147">
        <v>1.7</v>
      </c>
      <c r="S57" s="146"/>
      <c r="Z57" s="222" t="s">
        <v>410</v>
      </c>
      <c r="AA57" s="222" t="s">
        <v>410</v>
      </c>
      <c r="AB57" s="222" t="s">
        <v>410</v>
      </c>
      <c r="AC57" s="222"/>
      <c r="AD57" s="222"/>
      <c r="AE57" s="222"/>
      <c r="AF57" s="222"/>
      <c r="AG57" s="222"/>
      <c r="AH57" s="222"/>
      <c r="AI57" s="222"/>
      <c r="AJ57" s="222"/>
      <c r="AK57" s="222"/>
      <c r="AL57" s="222"/>
      <c r="AM57" s="222"/>
      <c r="AN57" s="222"/>
      <c r="AO57" s="222"/>
      <c r="AP57" s="222"/>
      <c r="AQ57" s="222"/>
      <c r="AR57" s="222"/>
      <c r="AS57" s="222"/>
      <c r="AT57" s="222"/>
      <c r="AU57" s="222"/>
      <c r="AV57" s="232">
        <f t="shared" si="2"/>
        <v>14372.468000000001</v>
      </c>
      <c r="AW57" s="233">
        <f t="shared" si="3"/>
        <v>0.65589971066874775</v>
      </c>
    </row>
    <row r="58" spans="1:49" ht="14.25" x14ac:dyDescent="0.2">
      <c r="A58" s="144" t="s">
        <v>153</v>
      </c>
      <c r="B58" s="230">
        <v>20843</v>
      </c>
      <c r="C58" s="144" t="s">
        <v>115</v>
      </c>
      <c r="D58" s="144" t="s">
        <v>120</v>
      </c>
      <c r="E58" s="145">
        <v>30677.65</v>
      </c>
      <c r="F58" s="129">
        <f t="shared" si="6"/>
        <v>30677.650000000005</v>
      </c>
      <c r="G58" s="144" t="s">
        <v>117</v>
      </c>
      <c r="H58" s="170">
        <f t="shared" si="7"/>
        <v>0</v>
      </c>
      <c r="I58" s="135"/>
      <c r="J58" s="146" t="s">
        <v>153</v>
      </c>
      <c r="K58" s="146" t="s">
        <v>115</v>
      </c>
      <c r="L58" s="147">
        <v>0</v>
      </c>
      <c r="M58" s="147">
        <v>1065</v>
      </c>
      <c r="N58" s="147">
        <v>0</v>
      </c>
      <c r="O58" s="147">
        <v>368</v>
      </c>
      <c r="P58" s="147">
        <v>6.4</v>
      </c>
      <c r="Q58" s="164">
        <v>0.55000000000000004</v>
      </c>
      <c r="R58" s="147">
        <v>2.4</v>
      </c>
      <c r="S58" s="146"/>
      <c r="Z58" s="222" t="s">
        <v>410</v>
      </c>
      <c r="AA58" s="222" t="s">
        <v>410</v>
      </c>
      <c r="AB58" s="222" t="s">
        <v>410</v>
      </c>
      <c r="AC58" s="222"/>
      <c r="AD58" s="222"/>
      <c r="AE58" s="222"/>
      <c r="AF58" s="222"/>
      <c r="AG58" s="222"/>
      <c r="AH58" s="222"/>
      <c r="AI58" s="222"/>
      <c r="AJ58" s="222"/>
      <c r="AK58" s="222"/>
      <c r="AL58" s="222"/>
      <c r="AM58" s="222"/>
      <c r="AN58" s="222"/>
      <c r="AO58" s="222"/>
      <c r="AP58" s="222"/>
      <c r="AQ58" s="222"/>
      <c r="AR58" s="222"/>
      <c r="AS58" s="222"/>
      <c r="AT58" s="222"/>
      <c r="AU58" s="222"/>
      <c r="AV58" s="232">
        <f t="shared" si="2"/>
        <v>21426.603999999999</v>
      </c>
      <c r="AW58" s="233">
        <f t="shared" si="3"/>
        <v>0.69844345965222232</v>
      </c>
    </row>
    <row r="59" spans="1:49" ht="14.25" x14ac:dyDescent="0.2">
      <c r="A59" s="144" t="s">
        <v>154</v>
      </c>
      <c r="B59" s="145">
        <v>0</v>
      </c>
      <c r="C59" s="144" t="s">
        <v>283</v>
      </c>
      <c r="D59" s="144" t="s">
        <v>155</v>
      </c>
      <c r="E59" s="145">
        <v>0</v>
      </c>
      <c r="F59" s="129">
        <f t="shared" si="6"/>
        <v>0</v>
      </c>
      <c r="G59" s="144" t="s">
        <v>99</v>
      </c>
      <c r="H59" s="170">
        <f t="shared" si="7"/>
        <v>0</v>
      </c>
      <c r="I59" s="135"/>
      <c r="J59" s="146" t="s">
        <v>154</v>
      </c>
      <c r="K59" s="146" t="s">
        <v>283</v>
      </c>
      <c r="L59" s="147">
        <v>0</v>
      </c>
      <c r="M59" s="147">
        <v>8.5</v>
      </c>
      <c r="N59" s="147">
        <v>0</v>
      </c>
      <c r="O59" s="147">
        <v>2.4500000000000002</v>
      </c>
      <c r="P59" s="147">
        <v>3.5000000000000003E-2</v>
      </c>
      <c r="Q59" s="164">
        <v>3.7999999999999999E-2</v>
      </c>
      <c r="R59" s="147">
        <v>0</v>
      </c>
      <c r="S59" s="146"/>
      <c r="Z59" s="222"/>
      <c r="AA59" s="222"/>
      <c r="AB59" s="222" t="s">
        <v>410</v>
      </c>
      <c r="AC59" s="222" t="s">
        <v>410</v>
      </c>
      <c r="AD59" s="222"/>
      <c r="AE59" s="222"/>
      <c r="AF59" s="222" t="s">
        <v>410</v>
      </c>
      <c r="AG59" s="222" t="s">
        <v>410</v>
      </c>
      <c r="AH59" s="222" t="s">
        <v>410</v>
      </c>
      <c r="AI59" s="222" t="s">
        <v>410</v>
      </c>
      <c r="AJ59" s="222"/>
      <c r="AK59" s="222" t="s">
        <v>410</v>
      </c>
      <c r="AL59" s="222"/>
      <c r="AM59" s="222"/>
      <c r="AN59" s="222"/>
      <c r="AO59" s="222"/>
      <c r="AP59" s="222"/>
      <c r="AQ59" s="222"/>
      <c r="AR59" s="222"/>
      <c r="AS59" s="222"/>
      <c r="AT59" s="222"/>
      <c r="AU59" s="222"/>
      <c r="AV59" s="232">
        <f t="shared" si="2"/>
        <v>0</v>
      </c>
      <c r="AW59" s="233" t="e">
        <f t="shared" si="3"/>
        <v>#DIV/0!</v>
      </c>
    </row>
    <row r="60" spans="1:49" ht="14.25" x14ac:dyDescent="0.2">
      <c r="A60" s="144" t="s">
        <v>156</v>
      </c>
      <c r="B60" s="145">
        <v>151.55000000000001</v>
      </c>
      <c r="C60" s="144" t="s">
        <v>283</v>
      </c>
      <c r="D60" s="144" t="s">
        <v>128</v>
      </c>
      <c r="E60" s="145">
        <v>153.4</v>
      </c>
      <c r="F60" s="129">
        <f t="shared" si="6"/>
        <v>153.4</v>
      </c>
      <c r="G60" s="144" t="s">
        <v>99</v>
      </c>
      <c r="H60" s="170">
        <f t="shared" si="7"/>
        <v>0</v>
      </c>
      <c r="I60" s="135"/>
      <c r="J60" s="146" t="s">
        <v>156</v>
      </c>
      <c r="K60" s="146" t="s">
        <v>283</v>
      </c>
      <c r="L60" s="147">
        <v>0</v>
      </c>
      <c r="M60" s="147">
        <v>10.5</v>
      </c>
      <c r="N60" s="147">
        <v>0</v>
      </c>
      <c r="O60" s="147">
        <v>3.77</v>
      </c>
      <c r="P60" s="147">
        <v>0.13200000000000001</v>
      </c>
      <c r="Q60" s="164">
        <v>7.5899999999999995E-2</v>
      </c>
      <c r="R60" s="147">
        <v>0</v>
      </c>
      <c r="S60" s="146"/>
      <c r="Z60" s="222"/>
      <c r="AA60" s="222"/>
      <c r="AB60" s="222" t="s">
        <v>410</v>
      </c>
      <c r="AC60" s="222" t="s">
        <v>410</v>
      </c>
      <c r="AD60" s="222"/>
      <c r="AE60" s="222"/>
      <c r="AF60" s="222" t="s">
        <v>410</v>
      </c>
      <c r="AG60" s="222" t="s">
        <v>410</v>
      </c>
      <c r="AH60" s="222" t="s">
        <v>410</v>
      </c>
      <c r="AI60" s="222" t="s">
        <v>410</v>
      </c>
      <c r="AJ60" s="222"/>
      <c r="AK60" s="222" t="s">
        <v>410</v>
      </c>
      <c r="AL60" s="222"/>
      <c r="AM60" s="222"/>
      <c r="AN60" s="222"/>
      <c r="AO60" s="222"/>
      <c r="AP60" s="222"/>
      <c r="AQ60" s="222"/>
      <c r="AR60" s="222"/>
      <c r="AS60" s="222"/>
      <c r="AT60" s="222"/>
      <c r="AU60" s="222"/>
      <c r="AV60" s="232">
        <f t="shared" si="2"/>
        <v>155.79339999999999</v>
      </c>
      <c r="AW60" s="233">
        <f t="shared" si="3"/>
        <v>1.0156023468057365</v>
      </c>
    </row>
    <row r="61" spans="1:49" ht="14.25" x14ac:dyDescent="0.2">
      <c r="A61" s="144" t="s">
        <v>157</v>
      </c>
      <c r="B61" s="145">
        <v>149.99</v>
      </c>
      <c r="C61" s="144" t="s">
        <v>283</v>
      </c>
      <c r="D61" s="144" t="s">
        <v>128</v>
      </c>
      <c r="E61" s="145">
        <v>153.4</v>
      </c>
      <c r="F61" s="129">
        <f t="shared" si="6"/>
        <v>153.4</v>
      </c>
      <c r="G61" s="144" t="s">
        <v>99</v>
      </c>
      <c r="H61" s="170">
        <f t="shared" si="7"/>
        <v>0</v>
      </c>
      <c r="I61" s="135"/>
      <c r="J61" s="146" t="s">
        <v>157</v>
      </c>
      <c r="K61" s="146" t="s">
        <v>283</v>
      </c>
      <c r="L61" s="147">
        <v>0</v>
      </c>
      <c r="M61" s="147">
        <v>8.5</v>
      </c>
      <c r="N61" s="147">
        <v>0</v>
      </c>
      <c r="O61" s="147">
        <v>2.4500000000000002</v>
      </c>
      <c r="P61" s="147">
        <v>0.04</v>
      </c>
      <c r="Q61" s="164">
        <v>3.7999999999999999E-2</v>
      </c>
      <c r="R61" s="147">
        <v>0</v>
      </c>
      <c r="S61" s="146"/>
      <c r="Z61" s="222"/>
      <c r="AA61" s="222"/>
      <c r="AB61" s="222" t="s">
        <v>410</v>
      </c>
      <c r="AC61" s="222" t="s">
        <v>410</v>
      </c>
      <c r="AD61" s="222"/>
      <c r="AE61" s="222"/>
      <c r="AF61" s="222" t="s">
        <v>410</v>
      </c>
      <c r="AG61" s="222" t="s">
        <v>410</v>
      </c>
      <c r="AH61" s="222" t="s">
        <v>410</v>
      </c>
      <c r="AI61" s="222" t="s">
        <v>410</v>
      </c>
      <c r="AJ61" s="222"/>
      <c r="AK61" s="222" t="s">
        <v>410</v>
      </c>
      <c r="AL61" s="222"/>
      <c r="AM61" s="222"/>
      <c r="AN61" s="222"/>
      <c r="AO61" s="222"/>
      <c r="AP61" s="222"/>
      <c r="AQ61" s="222"/>
      <c r="AR61" s="222"/>
      <c r="AS61" s="222"/>
      <c r="AT61" s="222"/>
      <c r="AU61" s="222"/>
      <c r="AV61" s="232">
        <f t="shared" si="2"/>
        <v>154.18971999999999</v>
      </c>
      <c r="AW61" s="233">
        <f t="shared" si="3"/>
        <v>1.0051481095176009</v>
      </c>
    </row>
    <row r="62" spans="1:49" ht="14.25" x14ac:dyDescent="0.2">
      <c r="A62" s="144" t="s">
        <v>158</v>
      </c>
      <c r="B62" s="145">
        <v>115.97</v>
      </c>
      <c r="C62" s="144" t="s">
        <v>283</v>
      </c>
      <c r="D62" s="144" t="s">
        <v>128</v>
      </c>
      <c r="E62" s="145">
        <v>153.4</v>
      </c>
      <c r="F62" s="129">
        <f t="shared" si="6"/>
        <v>153.4</v>
      </c>
      <c r="G62" s="144" t="s">
        <v>99</v>
      </c>
      <c r="H62" s="170">
        <f t="shared" si="7"/>
        <v>0</v>
      </c>
      <c r="I62" s="135"/>
      <c r="J62" s="146" t="s">
        <v>158</v>
      </c>
      <c r="K62" s="146" t="s">
        <v>283</v>
      </c>
      <c r="L62" s="147">
        <v>0</v>
      </c>
      <c r="M62" s="147">
        <v>5</v>
      </c>
      <c r="N62" s="147">
        <v>0</v>
      </c>
      <c r="O62" s="147">
        <v>3.59</v>
      </c>
      <c r="P62" s="147">
        <v>4.8000000000000001E-2</v>
      </c>
      <c r="Q62" s="164">
        <v>1.2800000000000001E-2</v>
      </c>
      <c r="R62" s="147">
        <v>0</v>
      </c>
      <c r="S62" s="146"/>
      <c r="Z62" s="222"/>
      <c r="AA62" s="222"/>
      <c r="AB62" s="222" t="s">
        <v>410</v>
      </c>
      <c r="AC62" s="222" t="s">
        <v>410</v>
      </c>
      <c r="AD62" s="222"/>
      <c r="AE62" s="222"/>
      <c r="AF62" s="222" t="s">
        <v>410</v>
      </c>
      <c r="AG62" s="222" t="s">
        <v>410</v>
      </c>
      <c r="AH62" s="222" t="s">
        <v>410</v>
      </c>
      <c r="AI62" s="222" t="s">
        <v>410</v>
      </c>
      <c r="AJ62" s="222"/>
      <c r="AK62" s="222" t="s">
        <v>410</v>
      </c>
      <c r="AL62" s="222"/>
      <c r="AM62" s="222"/>
      <c r="AN62" s="222"/>
      <c r="AO62" s="222"/>
      <c r="AP62" s="222"/>
      <c r="AQ62" s="222"/>
      <c r="AR62" s="222"/>
      <c r="AS62" s="222"/>
      <c r="AT62" s="222"/>
      <c r="AU62" s="222"/>
      <c r="AV62" s="232">
        <f t="shared" si="2"/>
        <v>119.21716000000001</v>
      </c>
      <c r="AW62" s="233">
        <f t="shared" si="3"/>
        <v>0.77716531942633638</v>
      </c>
    </row>
    <row r="63" spans="1:49" ht="14.25" x14ac:dyDescent="0.2">
      <c r="A63" s="144" t="s">
        <v>159</v>
      </c>
      <c r="B63" s="145" t="s">
        <v>85</v>
      </c>
      <c r="C63" s="144" t="s">
        <v>283</v>
      </c>
      <c r="D63" s="144" t="s">
        <v>143</v>
      </c>
      <c r="E63" s="145">
        <v>153.4</v>
      </c>
      <c r="F63" s="129">
        <f t="shared" si="6"/>
        <v>153.4</v>
      </c>
      <c r="G63" s="144" t="s">
        <v>99</v>
      </c>
      <c r="H63" s="170">
        <f t="shared" si="7"/>
        <v>0</v>
      </c>
      <c r="I63" s="135"/>
      <c r="J63" s="146" t="s">
        <v>159</v>
      </c>
      <c r="K63" s="146" t="s">
        <v>85</v>
      </c>
      <c r="L63" s="147">
        <v>0</v>
      </c>
      <c r="M63" s="147">
        <v>0</v>
      </c>
      <c r="N63" s="147">
        <v>0</v>
      </c>
      <c r="O63" s="147">
        <v>0</v>
      </c>
      <c r="P63" s="147">
        <v>0</v>
      </c>
      <c r="Q63" s="164">
        <v>0</v>
      </c>
      <c r="R63" s="147">
        <v>0</v>
      </c>
      <c r="S63" s="146"/>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32" t="e">
        <f t="shared" si="2"/>
        <v>#VALUE!</v>
      </c>
      <c r="AW63" s="233" t="e">
        <f t="shared" si="3"/>
        <v>#VALUE!</v>
      </c>
    </row>
    <row r="64" spans="1:49" ht="14.25" x14ac:dyDescent="0.2">
      <c r="A64" s="144" t="s">
        <v>160</v>
      </c>
      <c r="B64" s="145" t="s">
        <v>85</v>
      </c>
      <c r="C64" s="144"/>
      <c r="D64" s="144" t="s">
        <v>103</v>
      </c>
      <c r="E64" s="145" t="s">
        <v>85</v>
      </c>
      <c r="F64" s="129" t="str">
        <f t="shared" si="6"/>
        <v>FPA</v>
      </c>
      <c r="G64" s="144" t="s">
        <v>99</v>
      </c>
      <c r="H64" s="170">
        <f t="shared" si="7"/>
        <v>0</v>
      </c>
      <c r="I64" s="135"/>
      <c r="J64" s="146" t="s">
        <v>160</v>
      </c>
      <c r="K64" s="146" t="s">
        <v>85</v>
      </c>
      <c r="L64" s="147">
        <v>0</v>
      </c>
      <c r="M64" s="147">
        <v>0</v>
      </c>
      <c r="N64" s="147">
        <v>0</v>
      </c>
      <c r="O64" s="147">
        <v>0</v>
      </c>
      <c r="P64" s="147">
        <v>0</v>
      </c>
      <c r="Q64" s="164">
        <v>0</v>
      </c>
      <c r="R64" s="147">
        <v>0</v>
      </c>
      <c r="S64" s="146"/>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32" t="e">
        <f t="shared" si="2"/>
        <v>#VALUE!</v>
      </c>
      <c r="AW64" s="233" t="e">
        <f t="shared" si="3"/>
        <v>#VALUE!</v>
      </c>
    </row>
    <row r="65" spans="1:49" ht="14.25" x14ac:dyDescent="0.2">
      <c r="A65" s="144" t="s">
        <v>292</v>
      </c>
      <c r="B65" s="145">
        <v>194.87</v>
      </c>
      <c r="C65" s="144" t="s">
        <v>283</v>
      </c>
      <c r="D65" s="144" t="s">
        <v>98</v>
      </c>
      <c r="E65" s="145">
        <v>197.2</v>
      </c>
      <c r="F65" s="129">
        <f t="shared" si="6"/>
        <v>197.2</v>
      </c>
      <c r="G65" s="144" t="s">
        <v>99</v>
      </c>
      <c r="H65" s="170">
        <f t="shared" si="7"/>
        <v>0</v>
      </c>
      <c r="I65" s="135"/>
      <c r="J65" s="146" t="s">
        <v>292</v>
      </c>
      <c r="K65" s="146" t="s">
        <v>283</v>
      </c>
      <c r="L65" s="147">
        <v>0</v>
      </c>
      <c r="M65" s="147">
        <v>13.5</v>
      </c>
      <c r="N65" s="147">
        <v>0</v>
      </c>
      <c r="O65" s="147">
        <v>10.8</v>
      </c>
      <c r="P65" s="147">
        <v>1.35</v>
      </c>
      <c r="Q65" s="164">
        <v>2.2000000000000001E-3</v>
      </c>
      <c r="R65" s="147" t="s">
        <v>386</v>
      </c>
      <c r="S65" s="146"/>
      <c r="Z65" s="222"/>
      <c r="AA65" s="222"/>
      <c r="AB65" s="222"/>
      <c r="AC65" s="222"/>
      <c r="AD65" s="222"/>
      <c r="AE65" s="222"/>
      <c r="AF65" s="222"/>
      <c r="AG65" s="222"/>
      <c r="AH65" s="222"/>
      <c r="AI65" s="222"/>
      <c r="AJ65" s="222"/>
      <c r="AK65" s="222"/>
      <c r="AL65" s="222"/>
      <c r="AM65" s="222"/>
      <c r="AN65" s="222"/>
      <c r="AO65" s="222"/>
      <c r="AP65" s="222" t="s">
        <v>410</v>
      </c>
      <c r="AQ65" s="222" t="s">
        <v>410</v>
      </c>
      <c r="AR65" s="222" t="s">
        <v>410</v>
      </c>
      <c r="AS65" s="222"/>
      <c r="AT65" s="222"/>
      <c r="AU65" s="222"/>
      <c r="AV65" s="232">
        <f t="shared" si="2"/>
        <v>200.32635999999999</v>
      </c>
      <c r="AW65" s="233">
        <f t="shared" si="3"/>
        <v>1.0158537525354969</v>
      </c>
    </row>
    <row r="66" spans="1:49" ht="14.25" x14ac:dyDescent="0.2">
      <c r="A66" s="144" t="s">
        <v>293</v>
      </c>
      <c r="B66" s="145">
        <v>194.87</v>
      </c>
      <c r="C66" s="144" t="s">
        <v>283</v>
      </c>
      <c r="D66" s="144" t="s">
        <v>98</v>
      </c>
      <c r="E66" s="145">
        <v>197.2</v>
      </c>
      <c r="F66" s="129">
        <f t="shared" si="6"/>
        <v>197.2</v>
      </c>
      <c r="G66" s="144" t="s">
        <v>99</v>
      </c>
      <c r="H66" s="170">
        <f t="shared" si="7"/>
        <v>0</v>
      </c>
      <c r="I66" s="135"/>
      <c r="J66" s="146" t="s">
        <v>293</v>
      </c>
      <c r="K66" s="146" t="s">
        <v>283</v>
      </c>
      <c r="L66" s="147">
        <v>0</v>
      </c>
      <c r="M66" s="147">
        <v>30.29</v>
      </c>
      <c r="N66" s="147">
        <v>0</v>
      </c>
      <c r="O66" s="147">
        <v>10.130000000000001</v>
      </c>
      <c r="P66" s="147">
        <v>5.35</v>
      </c>
      <c r="Q66" s="164">
        <v>3.3E-3</v>
      </c>
      <c r="R66" s="147">
        <v>0</v>
      </c>
      <c r="S66" s="146"/>
      <c r="Z66" s="222"/>
      <c r="AA66" s="222"/>
      <c r="AB66" s="222"/>
      <c r="AC66" s="222"/>
      <c r="AD66" s="222"/>
      <c r="AE66" s="222"/>
      <c r="AF66" s="222"/>
      <c r="AG66" s="222"/>
      <c r="AH66" s="222"/>
      <c r="AI66" s="222"/>
      <c r="AJ66" s="222"/>
      <c r="AK66" s="222"/>
      <c r="AL66" s="222"/>
      <c r="AM66" s="222"/>
      <c r="AN66" s="222"/>
      <c r="AO66" s="222"/>
      <c r="AP66" s="222" t="s">
        <v>410</v>
      </c>
      <c r="AQ66" s="222" t="s">
        <v>410</v>
      </c>
      <c r="AR66" s="222" t="s">
        <v>410</v>
      </c>
      <c r="AS66" s="222"/>
      <c r="AT66" s="222"/>
      <c r="AU66" s="222"/>
      <c r="AV66" s="232">
        <f t="shared" si="2"/>
        <v>200.32635999999999</v>
      </c>
      <c r="AW66" s="233">
        <f t="shared" si="3"/>
        <v>1.0158537525354969</v>
      </c>
    </row>
    <row r="67" spans="1:49" ht="14.25" x14ac:dyDescent="0.2">
      <c r="A67" s="144" t="s">
        <v>294</v>
      </c>
      <c r="B67" s="145">
        <v>194.87</v>
      </c>
      <c r="C67" s="144" t="s">
        <v>283</v>
      </c>
      <c r="D67" s="144" t="s">
        <v>98</v>
      </c>
      <c r="E67" s="145">
        <v>197.2</v>
      </c>
      <c r="F67" s="129">
        <f t="shared" si="6"/>
        <v>197.2</v>
      </c>
      <c r="G67" s="144" t="s">
        <v>99</v>
      </c>
      <c r="H67" s="170">
        <f t="shared" si="7"/>
        <v>0</v>
      </c>
      <c r="I67" s="135"/>
      <c r="J67" s="146" t="s">
        <v>294</v>
      </c>
      <c r="K67" s="146" t="s">
        <v>283</v>
      </c>
      <c r="L67" s="147">
        <v>0</v>
      </c>
      <c r="M67" s="147">
        <v>6.23</v>
      </c>
      <c r="N67" s="147">
        <v>0</v>
      </c>
      <c r="O67" s="147">
        <v>5.46</v>
      </c>
      <c r="P67" s="147">
        <v>0.6</v>
      </c>
      <c r="Q67" s="164">
        <v>2.2000000000000001E-3</v>
      </c>
      <c r="R67" s="147">
        <v>0</v>
      </c>
      <c r="S67" s="146"/>
      <c r="Z67" s="222"/>
      <c r="AA67" s="222"/>
      <c r="AB67" s="222"/>
      <c r="AC67" s="222"/>
      <c r="AD67" s="222"/>
      <c r="AE67" s="222"/>
      <c r="AF67" s="222"/>
      <c r="AG67" s="222"/>
      <c r="AH67" s="222"/>
      <c r="AI67" s="222"/>
      <c r="AJ67" s="222"/>
      <c r="AK67" s="222"/>
      <c r="AL67" s="222"/>
      <c r="AM67" s="222"/>
      <c r="AN67" s="222"/>
      <c r="AO67" s="222"/>
      <c r="AP67" s="222" t="s">
        <v>410</v>
      </c>
      <c r="AQ67" s="222" t="s">
        <v>410</v>
      </c>
      <c r="AR67" s="222" t="s">
        <v>410</v>
      </c>
      <c r="AS67" s="222"/>
      <c r="AT67" s="222"/>
      <c r="AU67" s="222"/>
      <c r="AV67" s="232">
        <f t="shared" si="2"/>
        <v>200.32635999999999</v>
      </c>
      <c r="AW67" s="233">
        <f t="shared" si="3"/>
        <v>1.0158537525354969</v>
      </c>
    </row>
    <row r="68" spans="1:49" ht="14.25" x14ac:dyDescent="0.2">
      <c r="A68" s="144" t="s">
        <v>161</v>
      </c>
      <c r="B68" s="145">
        <v>75.8</v>
      </c>
      <c r="C68" s="144" t="s">
        <v>283</v>
      </c>
      <c r="D68" s="144" t="s">
        <v>130</v>
      </c>
      <c r="E68" s="145">
        <v>76.75</v>
      </c>
      <c r="F68" s="129">
        <f t="shared" si="6"/>
        <v>76.75</v>
      </c>
      <c r="G68" s="144" t="s">
        <v>99</v>
      </c>
      <c r="H68" s="170">
        <f t="shared" si="7"/>
        <v>0</v>
      </c>
      <c r="I68" s="135"/>
      <c r="J68" s="146" t="s">
        <v>161</v>
      </c>
      <c r="K68" s="146" t="s">
        <v>283</v>
      </c>
      <c r="L68" s="147">
        <v>0</v>
      </c>
      <c r="M68" s="147">
        <v>5.0999999999999996</v>
      </c>
      <c r="N68" s="147">
        <v>0</v>
      </c>
      <c r="O68" s="147">
        <v>2.29</v>
      </c>
      <c r="P68" s="147">
        <v>0.4</v>
      </c>
      <c r="Q68" s="164">
        <v>2.2000000000000001E-3</v>
      </c>
      <c r="R68" s="147">
        <v>0</v>
      </c>
      <c r="S68" s="146"/>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32">
        <f t="shared" si="2"/>
        <v>77.922399999999996</v>
      </c>
      <c r="AW68" s="233">
        <f t="shared" si="3"/>
        <v>1.0152755700325733</v>
      </c>
    </row>
    <row r="69" spans="1:49" ht="14.25" x14ac:dyDescent="0.2">
      <c r="A69" s="144" t="s">
        <v>162</v>
      </c>
      <c r="B69" s="145">
        <v>75.8</v>
      </c>
      <c r="C69" s="144" t="s">
        <v>283</v>
      </c>
      <c r="D69" s="144" t="s">
        <v>130</v>
      </c>
      <c r="E69" s="145">
        <v>76.75</v>
      </c>
      <c r="F69" s="129">
        <f t="shared" si="6"/>
        <v>76.75</v>
      </c>
      <c r="G69" s="144" t="s">
        <v>99</v>
      </c>
      <c r="H69" s="170">
        <f t="shared" si="7"/>
        <v>0</v>
      </c>
      <c r="I69" s="135"/>
      <c r="J69" s="146" t="s">
        <v>162</v>
      </c>
      <c r="K69" s="146" t="s">
        <v>283</v>
      </c>
      <c r="L69" s="147">
        <v>0</v>
      </c>
      <c r="M69" s="147">
        <v>3.6</v>
      </c>
      <c r="N69" s="147">
        <v>0</v>
      </c>
      <c r="O69" s="147">
        <v>2.14</v>
      </c>
      <c r="P69" s="147">
        <v>0.24</v>
      </c>
      <c r="Q69" s="164">
        <v>0</v>
      </c>
      <c r="R69" s="147">
        <v>0</v>
      </c>
      <c r="S69" s="146"/>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32">
        <f t="shared" si="2"/>
        <v>77.922399999999996</v>
      </c>
      <c r="AW69" s="233">
        <f t="shared" si="3"/>
        <v>1.0152755700325733</v>
      </c>
    </row>
    <row r="70" spans="1:49" ht="14.25" x14ac:dyDescent="0.2">
      <c r="A70" s="144" t="s">
        <v>163</v>
      </c>
      <c r="B70" s="145">
        <v>151.55000000000001</v>
      </c>
      <c r="C70" s="144" t="s">
        <v>283</v>
      </c>
      <c r="D70" s="144" t="s">
        <v>101</v>
      </c>
      <c r="E70" s="145">
        <v>153.4</v>
      </c>
      <c r="F70" s="129">
        <f t="shared" si="6"/>
        <v>153.4</v>
      </c>
      <c r="G70" s="144" t="s">
        <v>99</v>
      </c>
      <c r="H70" s="170">
        <f t="shared" si="7"/>
        <v>0</v>
      </c>
      <c r="I70" s="135"/>
      <c r="J70" s="146" t="s">
        <v>163</v>
      </c>
      <c r="K70" s="146" t="s">
        <v>283</v>
      </c>
      <c r="L70" s="147">
        <v>0</v>
      </c>
      <c r="M70" s="147">
        <f>40000/5000</f>
        <v>8</v>
      </c>
      <c r="N70" s="147">
        <v>0</v>
      </c>
      <c r="O70" s="147">
        <f>860/5000</f>
        <v>0.17199999999999999</v>
      </c>
      <c r="P70" s="147">
        <f>280/5000</f>
        <v>5.6000000000000001E-2</v>
      </c>
      <c r="Q70" s="164">
        <v>0</v>
      </c>
      <c r="R70" s="147">
        <v>0</v>
      </c>
      <c r="S70" s="146" t="s">
        <v>335</v>
      </c>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32">
        <f t="shared" si="2"/>
        <v>155.79339999999999</v>
      </c>
      <c r="AW70" s="233">
        <f t="shared" si="3"/>
        <v>1.0156023468057365</v>
      </c>
    </row>
    <row r="71" spans="1:49" ht="14.25" x14ac:dyDescent="0.2">
      <c r="A71" s="144" t="s">
        <v>164</v>
      </c>
      <c r="B71" s="145">
        <v>151.55000000000001</v>
      </c>
      <c r="C71" s="144" t="s">
        <v>283</v>
      </c>
      <c r="D71" s="144" t="s">
        <v>101</v>
      </c>
      <c r="E71" s="145">
        <v>153.4</v>
      </c>
      <c r="F71" s="129">
        <f t="shared" si="6"/>
        <v>153.4</v>
      </c>
      <c r="G71" s="144" t="s">
        <v>99</v>
      </c>
      <c r="H71" s="170">
        <f t="shared" si="7"/>
        <v>0</v>
      </c>
      <c r="I71" s="135"/>
      <c r="J71" s="146" t="s">
        <v>164</v>
      </c>
      <c r="K71" s="146" t="s">
        <v>283</v>
      </c>
      <c r="L71" s="147">
        <v>0</v>
      </c>
      <c r="M71" s="147">
        <v>1.42</v>
      </c>
      <c r="N71" s="147">
        <v>0</v>
      </c>
      <c r="O71" s="147">
        <v>0.81</v>
      </c>
      <c r="P71" s="147">
        <v>0.45</v>
      </c>
      <c r="Q71" s="164">
        <v>1.1000000000000001E-3</v>
      </c>
      <c r="R71" s="147">
        <v>0</v>
      </c>
      <c r="S71" s="146"/>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32">
        <f t="shared" si="2"/>
        <v>155.79339999999999</v>
      </c>
      <c r="AW71" s="233">
        <f t="shared" si="3"/>
        <v>1.0156023468057365</v>
      </c>
    </row>
    <row r="72" spans="1:49" ht="14.25" x14ac:dyDescent="0.2">
      <c r="A72" s="144" t="s">
        <v>165</v>
      </c>
      <c r="B72" s="145">
        <v>151.55000000000001</v>
      </c>
      <c r="C72" s="144" t="s">
        <v>283</v>
      </c>
      <c r="D72" s="144" t="s">
        <v>143</v>
      </c>
      <c r="E72" s="145">
        <v>153.4</v>
      </c>
      <c r="F72" s="129">
        <f t="shared" si="6"/>
        <v>153.4</v>
      </c>
      <c r="G72" s="144" t="s">
        <v>99</v>
      </c>
      <c r="H72" s="170">
        <f t="shared" si="7"/>
        <v>0</v>
      </c>
      <c r="I72" s="135"/>
      <c r="J72" s="146" t="s">
        <v>165</v>
      </c>
      <c r="K72" s="146" t="s">
        <v>283</v>
      </c>
      <c r="L72" s="147">
        <v>0</v>
      </c>
      <c r="M72" s="147">
        <v>4.17</v>
      </c>
      <c r="N72" s="147">
        <v>0</v>
      </c>
      <c r="O72" s="147">
        <v>3.19</v>
      </c>
      <c r="P72" s="147">
        <v>0.37</v>
      </c>
      <c r="Q72" s="164">
        <v>2.7000000000000001E-3</v>
      </c>
      <c r="R72" s="147">
        <v>0</v>
      </c>
      <c r="S72" s="146"/>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32">
        <f t="shared" si="2"/>
        <v>155.79339999999999</v>
      </c>
      <c r="AW72" s="233">
        <f t="shared" si="3"/>
        <v>1.0156023468057365</v>
      </c>
    </row>
    <row r="73" spans="1:49" ht="14.25" x14ac:dyDescent="0.2">
      <c r="A73" s="144" t="s">
        <v>166</v>
      </c>
      <c r="B73" s="145" t="s">
        <v>85</v>
      </c>
      <c r="C73" s="144" t="s">
        <v>283</v>
      </c>
      <c r="D73" s="144" t="s">
        <v>166</v>
      </c>
      <c r="E73" s="145">
        <v>76.75</v>
      </c>
      <c r="F73" s="129">
        <f t="shared" si="6"/>
        <v>76.75</v>
      </c>
      <c r="G73" s="144" t="s">
        <v>99</v>
      </c>
      <c r="H73" s="170">
        <f t="shared" si="7"/>
        <v>0</v>
      </c>
      <c r="I73" s="135"/>
      <c r="J73" s="146" t="s">
        <v>166</v>
      </c>
      <c r="K73" s="146" t="s">
        <v>85</v>
      </c>
      <c r="L73" s="147">
        <v>0</v>
      </c>
      <c r="M73" s="147">
        <v>0</v>
      </c>
      <c r="N73" s="147">
        <v>0</v>
      </c>
      <c r="O73" s="147">
        <v>0</v>
      </c>
      <c r="P73" s="147">
        <v>0</v>
      </c>
      <c r="Q73" s="164">
        <v>0</v>
      </c>
      <c r="R73" s="147">
        <v>0</v>
      </c>
      <c r="S73" s="146"/>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32" t="e">
        <f t="shared" si="2"/>
        <v>#VALUE!</v>
      </c>
      <c r="AW73" s="233" t="e">
        <f t="shared" si="3"/>
        <v>#VALUE!</v>
      </c>
    </row>
    <row r="74" spans="1:49" ht="14.25" x14ac:dyDescent="0.2">
      <c r="A74" s="144" t="s">
        <v>295</v>
      </c>
      <c r="B74" s="145">
        <v>0</v>
      </c>
      <c r="C74" s="144" t="s">
        <v>115</v>
      </c>
      <c r="D74" s="144" t="s">
        <v>126</v>
      </c>
      <c r="E74" s="145">
        <v>0</v>
      </c>
      <c r="F74" s="129">
        <f t="shared" si="6"/>
        <v>0</v>
      </c>
      <c r="G74" s="144" t="s">
        <v>99</v>
      </c>
      <c r="H74" s="170">
        <f t="shared" si="7"/>
        <v>0</v>
      </c>
      <c r="I74" s="135"/>
      <c r="J74" s="146" t="s">
        <v>295</v>
      </c>
      <c r="K74" s="146" t="s">
        <v>115</v>
      </c>
      <c r="L74" s="147">
        <v>0</v>
      </c>
      <c r="M74" s="147">
        <v>0</v>
      </c>
      <c r="N74" s="147">
        <v>0</v>
      </c>
      <c r="O74" s="147">
        <v>0</v>
      </c>
      <c r="P74" s="147">
        <v>1.5</v>
      </c>
      <c r="Q74" s="164">
        <v>0</v>
      </c>
      <c r="R74" s="147">
        <v>0</v>
      </c>
      <c r="S74" s="146"/>
      <c r="Z74" s="222"/>
      <c r="AA74" s="222"/>
      <c r="AB74" s="222"/>
      <c r="AC74" s="222"/>
      <c r="AD74" s="222"/>
      <c r="AE74" s="222" t="s">
        <v>410</v>
      </c>
      <c r="AF74" s="222" t="s">
        <v>410</v>
      </c>
      <c r="AG74" s="222" t="s">
        <v>410</v>
      </c>
      <c r="AH74" s="222" t="s">
        <v>410</v>
      </c>
      <c r="AI74" s="222" t="s">
        <v>410</v>
      </c>
      <c r="AJ74" s="222" t="s">
        <v>410</v>
      </c>
      <c r="AK74" s="222" t="s">
        <v>410</v>
      </c>
      <c r="AL74" s="222"/>
      <c r="AM74" s="222"/>
      <c r="AN74" s="222"/>
      <c r="AO74" s="222"/>
      <c r="AP74" s="222"/>
      <c r="AQ74" s="222"/>
      <c r="AR74" s="222"/>
      <c r="AS74" s="222" t="s">
        <v>410</v>
      </c>
      <c r="AT74" s="222"/>
      <c r="AU74" s="222"/>
      <c r="AV74" s="232">
        <f t="shared" si="2"/>
        <v>0</v>
      </c>
      <c r="AW74" s="233" t="e">
        <f t="shared" si="3"/>
        <v>#DIV/0!</v>
      </c>
    </row>
    <row r="75" spans="1:49" ht="14.25" x14ac:dyDescent="0.2">
      <c r="A75" s="144" t="s">
        <v>296</v>
      </c>
      <c r="B75" s="145">
        <v>0</v>
      </c>
      <c r="C75" s="144" t="s">
        <v>115</v>
      </c>
      <c r="D75" s="144" t="s">
        <v>126</v>
      </c>
      <c r="E75" s="145">
        <v>0</v>
      </c>
      <c r="F75" s="129">
        <f t="shared" si="6"/>
        <v>0</v>
      </c>
      <c r="G75" s="144" t="s">
        <v>99</v>
      </c>
      <c r="H75" s="170">
        <f t="shared" si="7"/>
        <v>0</v>
      </c>
      <c r="I75" s="135"/>
      <c r="J75" s="146" t="s">
        <v>296</v>
      </c>
      <c r="K75" s="146" t="s">
        <v>115</v>
      </c>
      <c r="L75" s="147">
        <v>0</v>
      </c>
      <c r="M75" s="147">
        <v>0</v>
      </c>
      <c r="N75" s="147">
        <v>0</v>
      </c>
      <c r="O75" s="147">
        <v>0</v>
      </c>
      <c r="P75" s="147">
        <v>5</v>
      </c>
      <c r="Q75" s="164">
        <v>0.54</v>
      </c>
      <c r="R75" s="147">
        <v>0</v>
      </c>
      <c r="S75" s="146"/>
      <c r="Z75" s="222"/>
      <c r="AA75" s="222"/>
      <c r="AB75" s="222"/>
      <c r="AC75" s="222"/>
      <c r="AD75" s="222"/>
      <c r="AE75" s="222" t="s">
        <v>410</v>
      </c>
      <c r="AF75" s="222" t="s">
        <v>410</v>
      </c>
      <c r="AG75" s="222" t="s">
        <v>410</v>
      </c>
      <c r="AH75" s="222" t="s">
        <v>410</v>
      </c>
      <c r="AI75" s="222" t="s">
        <v>410</v>
      </c>
      <c r="AJ75" s="222" t="s">
        <v>410</v>
      </c>
      <c r="AK75" s="222" t="s">
        <v>410</v>
      </c>
      <c r="AL75" s="222"/>
      <c r="AM75" s="222"/>
      <c r="AN75" s="222"/>
      <c r="AO75" s="222"/>
      <c r="AP75" s="222"/>
      <c r="AQ75" s="222"/>
      <c r="AR75" s="222"/>
      <c r="AS75" s="222" t="s">
        <v>410</v>
      </c>
      <c r="AT75" s="222"/>
      <c r="AU75" s="222"/>
      <c r="AV75" s="232">
        <f t="shared" si="2"/>
        <v>0</v>
      </c>
      <c r="AW75" s="233" t="e">
        <f t="shared" si="3"/>
        <v>#DIV/0!</v>
      </c>
    </row>
    <row r="76" spans="1:49" ht="14.25" x14ac:dyDescent="0.2">
      <c r="A76" s="144" t="s">
        <v>167</v>
      </c>
      <c r="B76" s="145" t="s">
        <v>85</v>
      </c>
      <c r="C76" s="144" t="s">
        <v>283</v>
      </c>
      <c r="D76" s="144" t="s">
        <v>143</v>
      </c>
      <c r="E76" s="145">
        <v>153.4</v>
      </c>
      <c r="F76" s="129">
        <f t="shared" si="6"/>
        <v>153.4</v>
      </c>
      <c r="G76" s="144" t="s">
        <v>99</v>
      </c>
      <c r="H76" s="170">
        <f t="shared" si="7"/>
        <v>0</v>
      </c>
      <c r="I76" s="135"/>
      <c r="J76" s="146" t="s">
        <v>167</v>
      </c>
      <c r="K76" s="146" t="s">
        <v>85</v>
      </c>
      <c r="L76" s="147">
        <v>0</v>
      </c>
      <c r="M76" s="147">
        <v>0</v>
      </c>
      <c r="N76" s="147">
        <v>0</v>
      </c>
      <c r="O76" s="147">
        <v>0</v>
      </c>
      <c r="P76" s="147">
        <v>0</v>
      </c>
      <c r="Q76" s="164">
        <v>0</v>
      </c>
      <c r="R76" s="147">
        <v>0</v>
      </c>
      <c r="S76" s="146"/>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32" t="e">
        <f t="shared" si="2"/>
        <v>#VALUE!</v>
      </c>
      <c r="AW76" s="233" t="e">
        <f t="shared" si="3"/>
        <v>#VALUE!</v>
      </c>
    </row>
    <row r="77" spans="1:49" ht="14.25" x14ac:dyDescent="0.2">
      <c r="A77" s="144" t="s">
        <v>168</v>
      </c>
      <c r="B77" s="230">
        <v>5426</v>
      </c>
      <c r="C77" s="144" t="s">
        <v>133</v>
      </c>
      <c r="D77" s="144" t="s">
        <v>169</v>
      </c>
      <c r="E77" s="145">
        <v>10956.25</v>
      </c>
      <c r="F77" s="129">
        <f t="shared" si="6"/>
        <v>10956.25</v>
      </c>
      <c r="G77" s="144" t="s">
        <v>117</v>
      </c>
      <c r="H77" s="170">
        <f t="shared" si="7"/>
        <v>0</v>
      </c>
      <c r="I77" s="135"/>
      <c r="J77" s="146" t="s">
        <v>168</v>
      </c>
      <c r="K77" s="146" t="s">
        <v>133</v>
      </c>
      <c r="L77" s="147">
        <v>0</v>
      </c>
      <c r="M77" s="147">
        <v>335</v>
      </c>
      <c r="N77" s="147">
        <v>0</v>
      </c>
      <c r="O77" s="147">
        <v>118</v>
      </c>
      <c r="P77" s="147">
        <v>3</v>
      </c>
      <c r="Q77" s="164">
        <v>0.17</v>
      </c>
      <c r="R77" s="147">
        <v>0</v>
      </c>
      <c r="S77" s="146"/>
      <c r="Z77" s="222"/>
      <c r="AA77" s="222"/>
      <c r="AB77" s="222"/>
      <c r="AC77" s="222"/>
      <c r="AD77" s="222"/>
      <c r="AE77" s="222"/>
      <c r="AF77" s="222"/>
      <c r="AG77" s="222" t="s">
        <v>410</v>
      </c>
      <c r="AH77" s="222" t="s">
        <v>410</v>
      </c>
      <c r="AI77" s="222"/>
      <c r="AJ77" s="222"/>
      <c r="AK77" s="222"/>
      <c r="AL77" s="222"/>
      <c r="AM77" s="222"/>
      <c r="AN77" s="222"/>
      <c r="AO77" s="222"/>
      <c r="AP77" s="222"/>
      <c r="AQ77" s="222"/>
      <c r="AR77" s="222"/>
      <c r="AS77" s="222"/>
      <c r="AT77" s="222"/>
      <c r="AU77" s="222"/>
      <c r="AV77" s="232">
        <f t="shared" si="2"/>
        <v>5577.927999999999</v>
      </c>
      <c r="AW77" s="233">
        <f t="shared" si="3"/>
        <v>0.50910922989161433</v>
      </c>
    </row>
    <row r="78" spans="1:49" ht="14.25" x14ac:dyDescent="0.2">
      <c r="A78" s="144" t="s">
        <v>170</v>
      </c>
      <c r="B78" s="230">
        <v>8647</v>
      </c>
      <c r="C78" s="144" t="s">
        <v>133</v>
      </c>
      <c r="D78" s="144" t="s">
        <v>169</v>
      </c>
      <c r="E78" s="145">
        <v>10956.25</v>
      </c>
      <c r="F78" s="129">
        <f t="shared" si="6"/>
        <v>10956.25</v>
      </c>
      <c r="G78" s="144" t="s">
        <v>117</v>
      </c>
      <c r="H78" s="170">
        <f t="shared" si="7"/>
        <v>0</v>
      </c>
      <c r="I78" s="135"/>
      <c r="J78" s="146" t="s">
        <v>170</v>
      </c>
      <c r="K78" s="146" t="s">
        <v>133</v>
      </c>
      <c r="L78" s="147">
        <v>0</v>
      </c>
      <c r="M78" s="147">
        <v>474</v>
      </c>
      <c r="N78" s="147">
        <v>0</v>
      </c>
      <c r="O78" s="147">
        <v>258</v>
      </c>
      <c r="P78" s="147">
        <v>4.2</v>
      </c>
      <c r="Q78" s="164">
        <v>0.24</v>
      </c>
      <c r="R78" s="147">
        <v>0</v>
      </c>
      <c r="S78" s="146" t="s">
        <v>334</v>
      </c>
      <c r="Z78" s="222"/>
      <c r="AA78" s="222"/>
      <c r="AB78" s="222"/>
      <c r="AC78" s="222"/>
      <c r="AD78" s="222"/>
      <c r="AE78" s="222"/>
      <c r="AF78" s="222"/>
      <c r="AG78" s="222" t="s">
        <v>410</v>
      </c>
      <c r="AH78" s="222" t="s">
        <v>410</v>
      </c>
      <c r="AI78" s="222"/>
      <c r="AJ78" s="222"/>
      <c r="AK78" s="222"/>
      <c r="AL78" s="222"/>
      <c r="AM78" s="222"/>
      <c r="AN78" s="222"/>
      <c r="AO78" s="222"/>
      <c r="AP78" s="222"/>
      <c r="AQ78" s="222"/>
      <c r="AR78" s="222"/>
      <c r="AS78" s="222"/>
      <c r="AT78" s="222"/>
      <c r="AU78" s="222"/>
      <c r="AV78" s="232">
        <f t="shared" si="2"/>
        <v>8889.116</v>
      </c>
      <c r="AW78" s="233">
        <f t="shared" si="3"/>
        <v>0.81132832857957782</v>
      </c>
    </row>
    <row r="79" spans="1:49" ht="14.25" x14ac:dyDescent="0.2">
      <c r="A79" s="144" t="s">
        <v>171</v>
      </c>
      <c r="B79" s="230">
        <v>10770</v>
      </c>
      <c r="C79" s="144" t="s">
        <v>133</v>
      </c>
      <c r="D79" s="144" t="s">
        <v>172</v>
      </c>
      <c r="E79" s="145">
        <v>15338.75</v>
      </c>
      <c r="F79" s="129">
        <f t="shared" si="6"/>
        <v>15338.750000000002</v>
      </c>
      <c r="G79" s="144" t="s">
        <v>117</v>
      </c>
      <c r="H79" s="170">
        <f t="shared" si="7"/>
        <v>0</v>
      </c>
      <c r="I79" s="135"/>
      <c r="J79" s="146" t="s">
        <v>171</v>
      </c>
      <c r="K79" s="146" t="s">
        <v>133</v>
      </c>
      <c r="L79" s="147">
        <v>0</v>
      </c>
      <c r="M79" s="147">
        <v>671</v>
      </c>
      <c r="N79" s="147">
        <v>0</v>
      </c>
      <c r="O79" s="147">
        <v>232</v>
      </c>
      <c r="P79" s="147">
        <v>5.9</v>
      </c>
      <c r="Q79" s="164">
        <v>0.34</v>
      </c>
      <c r="R79" s="147">
        <v>0</v>
      </c>
      <c r="S79" s="146" t="s">
        <v>334</v>
      </c>
      <c r="Z79" s="222"/>
      <c r="AA79" s="222"/>
      <c r="AB79" s="222"/>
      <c r="AC79" s="222"/>
      <c r="AD79" s="222"/>
      <c r="AE79" s="222"/>
      <c r="AF79" s="222"/>
      <c r="AG79" s="222" t="s">
        <v>410</v>
      </c>
      <c r="AH79" s="222" t="s">
        <v>410</v>
      </c>
      <c r="AI79" s="222"/>
      <c r="AJ79" s="222"/>
      <c r="AK79" s="222"/>
      <c r="AL79" s="222"/>
      <c r="AM79" s="222"/>
      <c r="AN79" s="222"/>
      <c r="AO79" s="222"/>
      <c r="AP79" s="222"/>
      <c r="AQ79" s="222"/>
      <c r="AR79" s="222"/>
      <c r="AS79" s="222"/>
      <c r="AT79" s="222"/>
      <c r="AU79" s="222"/>
      <c r="AV79" s="232">
        <f t="shared" si="2"/>
        <v>11071.56</v>
      </c>
      <c r="AW79" s="233">
        <f t="shared" si="3"/>
        <v>0.72180327601662453</v>
      </c>
    </row>
    <row r="80" spans="1:49" ht="14.25" x14ac:dyDescent="0.2">
      <c r="A80" s="144" t="s">
        <v>173</v>
      </c>
      <c r="B80" s="230">
        <v>6370</v>
      </c>
      <c r="C80" s="144" t="s">
        <v>137</v>
      </c>
      <c r="D80" s="144" t="s">
        <v>174</v>
      </c>
      <c r="E80" s="145">
        <v>10956.25</v>
      </c>
      <c r="F80" s="129">
        <f t="shared" si="6"/>
        <v>10956.25</v>
      </c>
      <c r="G80" s="144" t="s">
        <v>117</v>
      </c>
      <c r="H80" s="170">
        <f t="shared" si="7"/>
        <v>0</v>
      </c>
      <c r="I80" s="135"/>
      <c r="J80" s="146" t="s">
        <v>173</v>
      </c>
      <c r="K80" s="146" t="s">
        <v>287</v>
      </c>
      <c r="L80" s="147">
        <v>0</v>
      </c>
      <c r="M80" s="147">
        <v>189</v>
      </c>
      <c r="N80" s="147">
        <v>0</v>
      </c>
      <c r="O80" s="147">
        <v>164</v>
      </c>
      <c r="P80" s="147">
        <v>5.9</v>
      </c>
      <c r="Q80" s="164">
        <v>0.34</v>
      </c>
      <c r="R80" s="147">
        <v>0</v>
      </c>
      <c r="S80" s="146"/>
      <c r="Z80" s="222"/>
      <c r="AA80" s="222"/>
      <c r="AB80" s="222"/>
      <c r="AC80" s="222"/>
      <c r="AD80" s="222"/>
      <c r="AE80" s="222"/>
      <c r="AF80" s="222"/>
      <c r="AG80" s="222" t="s">
        <v>410</v>
      </c>
      <c r="AH80" s="222" t="s">
        <v>410</v>
      </c>
      <c r="AI80" s="222"/>
      <c r="AJ80" s="222"/>
      <c r="AK80" s="222"/>
      <c r="AL80" s="222"/>
      <c r="AM80" s="222"/>
      <c r="AN80" s="222"/>
      <c r="AO80" s="222"/>
      <c r="AP80" s="222"/>
      <c r="AQ80" s="222"/>
      <c r="AR80" s="222"/>
      <c r="AS80" s="222"/>
      <c r="AT80" s="222"/>
      <c r="AU80" s="222"/>
      <c r="AV80" s="232">
        <f t="shared" si="2"/>
        <v>6548.36</v>
      </c>
      <c r="AW80" s="233">
        <f t="shared" si="3"/>
        <v>0.5976826012549914</v>
      </c>
    </row>
    <row r="81" spans="1:49" ht="14.25" x14ac:dyDescent="0.2">
      <c r="A81" s="144" t="s">
        <v>175</v>
      </c>
      <c r="B81" s="145">
        <v>216.52</v>
      </c>
      <c r="C81" s="144" t="s">
        <v>283</v>
      </c>
      <c r="D81" s="144" t="s">
        <v>111</v>
      </c>
      <c r="E81" s="145">
        <v>219.1</v>
      </c>
      <c r="F81" s="129">
        <f t="shared" ref="F81:F112" si="9">IF(E81="FPA","FPA",E81*$F$6/$E$6)</f>
        <v>219.1</v>
      </c>
      <c r="G81" s="144" t="s">
        <v>99</v>
      </c>
      <c r="H81" s="170">
        <f t="shared" ref="H81:H112" si="10">+IF(B81="FPA",0,IF(B81&gt;F81,1,0))</f>
        <v>0</v>
      </c>
      <c r="I81" s="135"/>
      <c r="J81" s="146" t="s">
        <v>297</v>
      </c>
      <c r="K81" s="146" t="s">
        <v>283</v>
      </c>
      <c r="L81" s="147">
        <v>0</v>
      </c>
      <c r="M81" s="147">
        <v>6.55</v>
      </c>
      <c r="N81" s="147">
        <v>0</v>
      </c>
      <c r="O81" s="147">
        <v>4.63</v>
      </c>
      <c r="P81" s="147">
        <v>0.4</v>
      </c>
      <c r="Q81" s="164">
        <v>8.1000000000000013E-3</v>
      </c>
      <c r="R81" s="147">
        <v>0</v>
      </c>
      <c r="S81" s="146"/>
      <c r="Z81" s="222"/>
      <c r="AA81" s="222"/>
      <c r="AB81" s="222"/>
      <c r="AC81" s="222"/>
      <c r="AD81" s="222"/>
      <c r="AE81" s="222"/>
      <c r="AF81" s="222"/>
      <c r="AG81" s="222" t="s">
        <v>410</v>
      </c>
      <c r="AH81" s="222" t="s">
        <v>410</v>
      </c>
      <c r="AI81" s="222"/>
      <c r="AJ81" s="222"/>
      <c r="AK81" s="222"/>
      <c r="AL81" s="222"/>
      <c r="AM81" s="222"/>
      <c r="AN81" s="222"/>
      <c r="AO81" s="222"/>
      <c r="AP81" s="222"/>
      <c r="AQ81" s="222"/>
      <c r="AR81" s="222"/>
      <c r="AS81" s="222"/>
      <c r="AT81" s="222"/>
      <c r="AU81" s="222"/>
      <c r="AV81" s="232">
        <f t="shared" si="2"/>
        <v>222.58256</v>
      </c>
      <c r="AW81" s="233">
        <f t="shared" si="3"/>
        <v>1.0158948425376542</v>
      </c>
    </row>
    <row r="82" spans="1:49" ht="14.25" x14ac:dyDescent="0.2">
      <c r="A82" s="144" t="s">
        <v>176</v>
      </c>
      <c r="B82" s="145" t="s">
        <v>85</v>
      </c>
      <c r="C82" s="144" t="s">
        <v>283</v>
      </c>
      <c r="D82" s="144" t="s">
        <v>177</v>
      </c>
      <c r="E82" s="145">
        <v>21.85</v>
      </c>
      <c r="F82" s="129">
        <f t="shared" si="9"/>
        <v>21.85</v>
      </c>
      <c r="G82" s="144" t="s">
        <v>99</v>
      </c>
      <c r="H82" s="170">
        <f t="shared" si="10"/>
        <v>0</v>
      </c>
      <c r="I82" s="135"/>
      <c r="J82" s="146" t="s">
        <v>298</v>
      </c>
      <c r="K82" s="146" t="s">
        <v>85</v>
      </c>
      <c r="L82" s="147">
        <v>0</v>
      </c>
      <c r="M82" s="147">
        <v>0</v>
      </c>
      <c r="N82" s="147">
        <v>0</v>
      </c>
      <c r="O82" s="147">
        <v>0</v>
      </c>
      <c r="P82" s="147">
        <v>0</v>
      </c>
      <c r="Q82" s="164">
        <v>0</v>
      </c>
      <c r="R82" s="147">
        <v>0</v>
      </c>
      <c r="S82" s="146"/>
      <c r="Z82" s="222"/>
      <c r="AA82" s="222"/>
      <c r="AB82" s="222"/>
      <c r="AC82" s="222"/>
      <c r="AD82" s="222"/>
      <c r="AE82" s="222"/>
      <c r="AF82" s="222" t="s">
        <v>410</v>
      </c>
      <c r="AG82" s="222" t="s">
        <v>410</v>
      </c>
      <c r="AH82" s="222" t="s">
        <v>410</v>
      </c>
      <c r="AI82" s="222" t="s">
        <v>410</v>
      </c>
      <c r="AJ82" s="222" t="s">
        <v>410</v>
      </c>
      <c r="AK82" s="222" t="s">
        <v>410</v>
      </c>
      <c r="AL82" s="222"/>
      <c r="AM82" s="222"/>
      <c r="AN82" s="222"/>
      <c r="AO82" s="222"/>
      <c r="AP82" s="222"/>
      <c r="AQ82" s="222"/>
      <c r="AR82" s="222"/>
      <c r="AS82" s="222"/>
      <c r="AT82" s="222"/>
      <c r="AU82" s="222"/>
      <c r="AV82" s="232" t="e">
        <f t="shared" ref="AV82:AV145" si="11">B82*102.8/100</f>
        <v>#VALUE!</v>
      </c>
      <c r="AW82" s="233" t="e">
        <f t="shared" ref="AW82:AW145" si="12">AV82/E82</f>
        <v>#VALUE!</v>
      </c>
    </row>
    <row r="83" spans="1:49" ht="14.25" x14ac:dyDescent="0.2">
      <c r="A83" s="144" t="s">
        <v>178</v>
      </c>
      <c r="B83" s="145" t="s">
        <v>85</v>
      </c>
      <c r="C83" s="144" t="s">
        <v>283</v>
      </c>
      <c r="D83" s="144" t="s">
        <v>179</v>
      </c>
      <c r="E83" s="145">
        <v>219.1</v>
      </c>
      <c r="F83" s="129">
        <f t="shared" si="9"/>
        <v>219.1</v>
      </c>
      <c r="G83" s="144" t="s">
        <v>99</v>
      </c>
      <c r="H83" s="170">
        <f t="shared" si="10"/>
        <v>0</v>
      </c>
      <c r="I83" s="135"/>
      <c r="J83" s="146" t="s">
        <v>299</v>
      </c>
      <c r="K83" s="146" t="s">
        <v>85</v>
      </c>
      <c r="L83" s="147">
        <v>0</v>
      </c>
      <c r="M83" s="147">
        <v>0</v>
      </c>
      <c r="N83" s="147">
        <v>0</v>
      </c>
      <c r="O83" s="147">
        <v>0</v>
      </c>
      <c r="P83" s="147">
        <v>0</v>
      </c>
      <c r="Q83" s="164">
        <v>0</v>
      </c>
      <c r="R83" s="147">
        <v>0</v>
      </c>
      <c r="S83" s="146"/>
      <c r="Z83" s="222"/>
      <c r="AA83" s="222"/>
      <c r="AB83" s="222"/>
      <c r="AC83" s="222"/>
      <c r="AD83" s="222"/>
      <c r="AE83" s="222"/>
      <c r="AF83" s="222" t="s">
        <v>410</v>
      </c>
      <c r="AG83" s="222" t="s">
        <v>410</v>
      </c>
      <c r="AH83" s="222" t="s">
        <v>410</v>
      </c>
      <c r="AI83" s="222" t="s">
        <v>410</v>
      </c>
      <c r="AJ83" s="222" t="s">
        <v>410</v>
      </c>
      <c r="AK83" s="222" t="s">
        <v>410</v>
      </c>
      <c r="AL83" s="222"/>
      <c r="AM83" s="222"/>
      <c r="AN83" s="222"/>
      <c r="AO83" s="222"/>
      <c r="AP83" s="222"/>
      <c r="AQ83" s="222"/>
      <c r="AR83" s="222"/>
      <c r="AS83" s="222"/>
      <c r="AT83" s="222"/>
      <c r="AU83" s="222"/>
      <c r="AV83" s="232" t="e">
        <f t="shared" si="11"/>
        <v>#VALUE!</v>
      </c>
      <c r="AW83" s="233" t="e">
        <f t="shared" si="12"/>
        <v>#VALUE!</v>
      </c>
    </row>
    <row r="84" spans="1:49" ht="14.25" x14ac:dyDescent="0.2">
      <c r="A84" s="144" t="s">
        <v>180</v>
      </c>
      <c r="B84" s="145" t="s">
        <v>85</v>
      </c>
      <c r="C84" s="144" t="s">
        <v>283</v>
      </c>
      <c r="D84" s="144" t="s">
        <v>109</v>
      </c>
      <c r="E84" s="145">
        <v>21.85</v>
      </c>
      <c r="F84" s="129">
        <f t="shared" si="9"/>
        <v>21.85</v>
      </c>
      <c r="G84" s="144" t="s">
        <v>99</v>
      </c>
      <c r="H84" s="170">
        <f t="shared" si="10"/>
        <v>0</v>
      </c>
      <c r="I84" s="135"/>
      <c r="J84" s="146" t="s">
        <v>180</v>
      </c>
      <c r="K84" s="146" t="s">
        <v>85</v>
      </c>
      <c r="L84" s="147">
        <v>0</v>
      </c>
      <c r="M84" s="147">
        <v>0</v>
      </c>
      <c r="N84" s="147">
        <v>0</v>
      </c>
      <c r="O84" s="147">
        <v>0</v>
      </c>
      <c r="P84" s="147">
        <v>0</v>
      </c>
      <c r="Q84" s="164">
        <v>0</v>
      </c>
      <c r="R84" s="147">
        <v>0</v>
      </c>
      <c r="S84" s="146"/>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32" t="e">
        <f t="shared" si="11"/>
        <v>#VALUE!</v>
      </c>
      <c r="AW84" s="233" t="e">
        <f t="shared" si="12"/>
        <v>#VALUE!</v>
      </c>
    </row>
    <row r="85" spans="1:49" ht="14.25" x14ac:dyDescent="0.2">
      <c r="A85" s="144" t="s">
        <v>181</v>
      </c>
      <c r="B85" s="145" t="s">
        <v>85</v>
      </c>
      <c r="C85" s="144" t="s">
        <v>283</v>
      </c>
      <c r="D85" s="144" t="s">
        <v>109</v>
      </c>
      <c r="E85" s="145">
        <v>21.85</v>
      </c>
      <c r="F85" s="129">
        <f t="shared" si="9"/>
        <v>21.85</v>
      </c>
      <c r="G85" s="144" t="s">
        <v>99</v>
      </c>
      <c r="H85" s="170">
        <f t="shared" si="10"/>
        <v>0</v>
      </c>
      <c r="I85" s="135"/>
      <c r="J85" s="146" t="s">
        <v>181</v>
      </c>
      <c r="K85" s="146" t="s">
        <v>85</v>
      </c>
      <c r="L85" s="147">
        <v>0</v>
      </c>
      <c r="M85" s="147">
        <v>0</v>
      </c>
      <c r="N85" s="147">
        <v>0</v>
      </c>
      <c r="O85" s="147">
        <v>0</v>
      </c>
      <c r="P85" s="147">
        <v>0</v>
      </c>
      <c r="Q85" s="164">
        <v>0</v>
      </c>
      <c r="R85" s="147">
        <v>0</v>
      </c>
      <c r="S85" s="146"/>
      <c r="Z85" s="222"/>
      <c r="AA85" s="222"/>
      <c r="AB85" s="222"/>
      <c r="AC85" s="222"/>
      <c r="AD85" s="222"/>
      <c r="AE85" s="222"/>
      <c r="AF85" s="222"/>
      <c r="AG85" s="222"/>
      <c r="AH85" s="222"/>
      <c r="AI85" s="222"/>
      <c r="AJ85" s="222"/>
      <c r="AK85" s="222"/>
      <c r="AL85" s="222"/>
      <c r="AM85" s="222"/>
      <c r="AN85" s="222"/>
      <c r="AO85" s="222"/>
      <c r="AP85" s="222"/>
      <c r="AQ85" s="222"/>
      <c r="AR85" s="222"/>
      <c r="AS85" s="222" t="s">
        <v>410</v>
      </c>
      <c r="AT85" s="222"/>
      <c r="AU85" s="222"/>
      <c r="AV85" s="232" t="e">
        <f t="shared" si="11"/>
        <v>#VALUE!</v>
      </c>
      <c r="AW85" s="233" t="e">
        <f t="shared" si="12"/>
        <v>#VALUE!</v>
      </c>
    </row>
    <row r="86" spans="1:49" ht="14.25" x14ac:dyDescent="0.2">
      <c r="A86" s="144" t="s">
        <v>182</v>
      </c>
      <c r="B86" s="145">
        <v>0</v>
      </c>
      <c r="C86" s="144" t="s">
        <v>105</v>
      </c>
      <c r="D86" s="144" t="s">
        <v>126</v>
      </c>
      <c r="E86" s="145">
        <v>0</v>
      </c>
      <c r="F86" s="129">
        <f t="shared" si="9"/>
        <v>0</v>
      </c>
      <c r="G86" s="144" t="s">
        <v>99</v>
      </c>
      <c r="H86" s="170">
        <f t="shared" si="10"/>
        <v>0</v>
      </c>
      <c r="I86" s="135"/>
      <c r="J86" s="146" t="s">
        <v>182</v>
      </c>
      <c r="K86" s="146" t="s">
        <v>85</v>
      </c>
      <c r="L86" s="147">
        <v>0</v>
      </c>
      <c r="M86" s="147">
        <v>0</v>
      </c>
      <c r="N86" s="147">
        <v>0</v>
      </c>
      <c r="O86" s="147">
        <v>0</v>
      </c>
      <c r="P86" s="147">
        <v>0</v>
      </c>
      <c r="Q86" s="164">
        <v>0</v>
      </c>
      <c r="R86" s="147">
        <v>0</v>
      </c>
      <c r="S86" s="146"/>
      <c r="Z86" s="222" t="s">
        <v>410</v>
      </c>
      <c r="AA86" s="222" t="s">
        <v>410</v>
      </c>
      <c r="AB86" s="222" t="s">
        <v>410</v>
      </c>
      <c r="AC86" s="222" t="s">
        <v>410</v>
      </c>
      <c r="AD86" s="222" t="s">
        <v>410</v>
      </c>
      <c r="AE86" s="222" t="s">
        <v>410</v>
      </c>
      <c r="AF86" s="222" t="s">
        <v>410</v>
      </c>
      <c r="AG86" s="222" t="s">
        <v>410</v>
      </c>
      <c r="AH86" s="222" t="s">
        <v>410</v>
      </c>
      <c r="AI86" s="222" t="s">
        <v>410</v>
      </c>
      <c r="AJ86" s="222" t="s">
        <v>410</v>
      </c>
      <c r="AK86" s="222" t="s">
        <v>410</v>
      </c>
      <c r="AL86" s="222" t="s">
        <v>410</v>
      </c>
      <c r="AM86" s="222" t="s">
        <v>410</v>
      </c>
      <c r="AN86" s="222" t="s">
        <v>410</v>
      </c>
      <c r="AO86" s="222" t="s">
        <v>410</v>
      </c>
      <c r="AP86" s="222" t="s">
        <v>410</v>
      </c>
      <c r="AQ86" s="222" t="s">
        <v>410</v>
      </c>
      <c r="AR86" s="222" t="s">
        <v>410</v>
      </c>
      <c r="AS86" s="222" t="s">
        <v>410</v>
      </c>
      <c r="AT86" s="222" t="s">
        <v>410</v>
      </c>
      <c r="AU86" s="222" t="s">
        <v>410</v>
      </c>
      <c r="AV86" s="232">
        <f t="shared" si="11"/>
        <v>0</v>
      </c>
      <c r="AW86" s="233" t="e">
        <f t="shared" si="12"/>
        <v>#DIV/0!</v>
      </c>
    </row>
    <row r="87" spans="1:49" ht="14.25" x14ac:dyDescent="0.2">
      <c r="A87" s="144" t="s">
        <v>183</v>
      </c>
      <c r="B87" s="145">
        <v>52.79</v>
      </c>
      <c r="C87" s="144" t="s">
        <v>283</v>
      </c>
      <c r="D87" s="144" t="s">
        <v>184</v>
      </c>
      <c r="E87" s="145">
        <v>54.8</v>
      </c>
      <c r="F87" s="129">
        <f t="shared" si="9"/>
        <v>54.8</v>
      </c>
      <c r="G87" s="144" t="s">
        <v>99</v>
      </c>
      <c r="H87" s="170">
        <f t="shared" si="10"/>
        <v>0</v>
      </c>
      <c r="I87" s="135"/>
      <c r="J87" s="146" t="s">
        <v>183</v>
      </c>
      <c r="K87" s="146" t="s">
        <v>283</v>
      </c>
      <c r="L87" s="147">
        <v>0</v>
      </c>
      <c r="M87" s="147">
        <v>0.97</v>
      </c>
      <c r="N87" s="147">
        <v>0</v>
      </c>
      <c r="O87" s="147">
        <v>0.97</v>
      </c>
      <c r="P87" s="147">
        <v>7.4999999999999997E-2</v>
      </c>
      <c r="Q87" s="164">
        <v>5.0000000000000001E-4</v>
      </c>
      <c r="R87" s="147">
        <v>0</v>
      </c>
      <c r="S87" s="146"/>
      <c r="Z87" s="222"/>
      <c r="AA87" s="222"/>
      <c r="AB87" s="222"/>
      <c r="AC87" s="222"/>
      <c r="AD87" s="222"/>
      <c r="AE87" s="222"/>
      <c r="AF87" s="222"/>
      <c r="AG87" s="222"/>
      <c r="AH87" s="222"/>
      <c r="AI87" s="222"/>
      <c r="AJ87" s="222"/>
      <c r="AK87" s="222"/>
      <c r="AL87" s="222"/>
      <c r="AM87" s="222"/>
      <c r="AN87" s="222"/>
      <c r="AO87" s="222"/>
      <c r="AP87" s="222" t="s">
        <v>410</v>
      </c>
      <c r="AQ87" s="222" t="s">
        <v>410</v>
      </c>
      <c r="AR87" s="222"/>
      <c r="AS87" s="222"/>
      <c r="AT87" s="222"/>
      <c r="AU87" s="222"/>
      <c r="AV87" s="232">
        <f t="shared" si="11"/>
        <v>54.268119999999996</v>
      </c>
      <c r="AW87" s="233">
        <f t="shared" si="12"/>
        <v>0.9902941605839416</v>
      </c>
    </row>
    <row r="88" spans="1:49" ht="14.25" x14ac:dyDescent="0.2">
      <c r="A88" s="144" t="s">
        <v>185</v>
      </c>
      <c r="B88" s="145" t="s">
        <v>85</v>
      </c>
      <c r="C88" s="144"/>
      <c r="D88" s="144" t="s">
        <v>103</v>
      </c>
      <c r="E88" s="145" t="s">
        <v>85</v>
      </c>
      <c r="F88" s="129" t="str">
        <f t="shared" si="9"/>
        <v>FPA</v>
      </c>
      <c r="G88" s="144" t="s">
        <v>99</v>
      </c>
      <c r="H88" s="170">
        <f t="shared" si="10"/>
        <v>0</v>
      </c>
      <c r="I88" s="135"/>
      <c r="J88" s="146" t="s">
        <v>185</v>
      </c>
      <c r="K88" s="146" t="s">
        <v>85</v>
      </c>
      <c r="L88" s="147">
        <v>0</v>
      </c>
      <c r="M88" s="147">
        <v>0</v>
      </c>
      <c r="N88" s="147">
        <v>0</v>
      </c>
      <c r="O88" s="147">
        <v>0</v>
      </c>
      <c r="P88" s="147">
        <v>0</v>
      </c>
      <c r="Q88" s="164">
        <v>0</v>
      </c>
      <c r="R88" s="147">
        <v>0</v>
      </c>
      <c r="S88" s="146"/>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32" t="e">
        <f t="shared" si="11"/>
        <v>#VALUE!</v>
      </c>
      <c r="AW88" s="233" t="e">
        <f t="shared" si="12"/>
        <v>#VALUE!</v>
      </c>
    </row>
    <row r="89" spans="1:49" ht="14.25" x14ac:dyDescent="0.2">
      <c r="A89" s="144" t="s">
        <v>186</v>
      </c>
      <c r="B89" s="145">
        <v>54.15</v>
      </c>
      <c r="C89" s="144" t="s">
        <v>283</v>
      </c>
      <c r="D89" s="144" t="s">
        <v>184</v>
      </c>
      <c r="E89" s="145">
        <v>54.8</v>
      </c>
      <c r="F89" s="129">
        <f t="shared" si="9"/>
        <v>54.8</v>
      </c>
      <c r="G89" s="144" t="s">
        <v>99</v>
      </c>
      <c r="H89" s="170">
        <f t="shared" si="10"/>
        <v>0</v>
      </c>
      <c r="I89" s="135"/>
      <c r="J89" s="146" t="s">
        <v>186</v>
      </c>
      <c r="K89" s="146" t="s">
        <v>283</v>
      </c>
      <c r="L89" s="147">
        <v>0</v>
      </c>
      <c r="M89" s="147">
        <v>0.97</v>
      </c>
      <c r="N89" s="147">
        <v>0</v>
      </c>
      <c r="O89" s="147">
        <v>0.97</v>
      </c>
      <c r="P89" s="147">
        <v>0.1</v>
      </c>
      <c r="Q89" s="164">
        <v>5.0000000000000001E-4</v>
      </c>
      <c r="R89" s="147">
        <v>0</v>
      </c>
      <c r="S89" s="146"/>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32">
        <f t="shared" si="11"/>
        <v>55.666199999999996</v>
      </c>
      <c r="AW89" s="233">
        <f t="shared" si="12"/>
        <v>1.0158065693430658</v>
      </c>
    </row>
    <row r="90" spans="1:49" ht="14.25" x14ac:dyDescent="0.2">
      <c r="A90" s="144" t="s">
        <v>187</v>
      </c>
      <c r="B90" s="145">
        <v>0</v>
      </c>
      <c r="C90" s="144" t="s">
        <v>105</v>
      </c>
      <c r="D90" s="144" t="s">
        <v>126</v>
      </c>
      <c r="E90" s="145">
        <v>0</v>
      </c>
      <c r="F90" s="129">
        <f t="shared" si="9"/>
        <v>0</v>
      </c>
      <c r="G90" s="144" t="s">
        <v>99</v>
      </c>
      <c r="H90" s="170">
        <f t="shared" si="10"/>
        <v>0</v>
      </c>
      <c r="I90" s="135"/>
      <c r="J90" s="146" t="s">
        <v>187</v>
      </c>
      <c r="K90" s="146" t="s">
        <v>85</v>
      </c>
      <c r="L90" s="147">
        <v>0</v>
      </c>
      <c r="M90" s="147">
        <v>0</v>
      </c>
      <c r="N90" s="147">
        <v>0</v>
      </c>
      <c r="O90" s="147">
        <v>0</v>
      </c>
      <c r="P90" s="147">
        <v>0</v>
      </c>
      <c r="Q90" s="164">
        <v>0</v>
      </c>
      <c r="R90" s="147">
        <v>0</v>
      </c>
      <c r="S90" s="146"/>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32">
        <f t="shared" si="11"/>
        <v>0</v>
      </c>
      <c r="AW90" s="233" t="e">
        <f t="shared" si="12"/>
        <v>#DIV/0!</v>
      </c>
    </row>
    <row r="91" spans="1:49" ht="14.25" x14ac:dyDescent="0.2">
      <c r="A91" s="144" t="s">
        <v>188</v>
      </c>
      <c r="B91" s="145">
        <v>54.15</v>
      </c>
      <c r="C91" s="144" t="s">
        <v>283</v>
      </c>
      <c r="D91" s="144" t="s">
        <v>184</v>
      </c>
      <c r="E91" s="145">
        <v>54.8</v>
      </c>
      <c r="F91" s="129">
        <f t="shared" si="9"/>
        <v>54.8</v>
      </c>
      <c r="G91" s="144" t="s">
        <v>99</v>
      </c>
      <c r="H91" s="170">
        <f t="shared" si="10"/>
        <v>0</v>
      </c>
      <c r="I91" s="135"/>
      <c r="J91" s="146" t="s">
        <v>188</v>
      </c>
      <c r="K91" s="146" t="s">
        <v>283</v>
      </c>
      <c r="L91" s="147">
        <v>0</v>
      </c>
      <c r="M91" s="147">
        <v>4.63</v>
      </c>
      <c r="N91" s="147">
        <v>0</v>
      </c>
      <c r="O91" s="147">
        <v>4.63</v>
      </c>
      <c r="P91" s="147">
        <v>0.05</v>
      </c>
      <c r="Q91" s="164">
        <v>5.0000000000000001E-4</v>
      </c>
      <c r="R91" s="147">
        <v>0</v>
      </c>
      <c r="S91" s="146"/>
      <c r="Z91" s="222"/>
      <c r="AA91" s="222"/>
      <c r="AB91" s="222"/>
      <c r="AC91" s="222"/>
      <c r="AD91" s="222"/>
      <c r="AE91" s="222"/>
      <c r="AF91" s="222"/>
      <c r="AG91" s="222"/>
      <c r="AH91" s="222"/>
      <c r="AI91" s="222"/>
      <c r="AJ91" s="222"/>
      <c r="AK91" s="222"/>
      <c r="AL91" s="222"/>
      <c r="AM91" s="222"/>
      <c r="AN91" s="222"/>
      <c r="AO91" s="222"/>
      <c r="AP91" s="222"/>
      <c r="AQ91" s="222" t="s">
        <v>410</v>
      </c>
      <c r="AR91" s="222" t="s">
        <v>410</v>
      </c>
      <c r="AS91" s="222"/>
      <c r="AT91" s="222"/>
      <c r="AU91" s="222"/>
      <c r="AV91" s="232">
        <f t="shared" si="11"/>
        <v>55.666199999999996</v>
      </c>
      <c r="AW91" s="233">
        <f t="shared" si="12"/>
        <v>1.0158065693430658</v>
      </c>
    </row>
    <row r="92" spans="1:49" ht="14.25" x14ac:dyDescent="0.2">
      <c r="A92" s="144" t="s">
        <v>189</v>
      </c>
      <c r="B92" s="145" t="s">
        <v>85</v>
      </c>
      <c r="C92" s="144"/>
      <c r="D92" s="144" t="s">
        <v>103</v>
      </c>
      <c r="E92" s="145" t="s">
        <v>85</v>
      </c>
      <c r="F92" s="129" t="str">
        <f t="shared" si="9"/>
        <v>FPA</v>
      </c>
      <c r="G92" s="144" t="s">
        <v>99</v>
      </c>
      <c r="H92" s="170">
        <f t="shared" si="10"/>
        <v>0</v>
      </c>
      <c r="I92" s="135"/>
      <c r="J92" s="146" t="s">
        <v>189</v>
      </c>
      <c r="K92" s="146" t="s">
        <v>85</v>
      </c>
      <c r="L92" s="147">
        <v>0</v>
      </c>
      <c r="M92" s="147">
        <v>0</v>
      </c>
      <c r="N92" s="147">
        <v>0</v>
      </c>
      <c r="O92" s="147">
        <v>0</v>
      </c>
      <c r="P92" s="147">
        <v>0</v>
      </c>
      <c r="Q92" s="164">
        <v>0</v>
      </c>
      <c r="R92" s="147">
        <v>0</v>
      </c>
      <c r="S92" s="146"/>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32" t="e">
        <f t="shared" si="11"/>
        <v>#VALUE!</v>
      </c>
      <c r="AW92" s="233" t="e">
        <f t="shared" si="12"/>
        <v>#VALUE!</v>
      </c>
    </row>
    <row r="93" spans="1:49" ht="14.25" x14ac:dyDescent="0.2">
      <c r="A93" s="144" t="s">
        <v>190</v>
      </c>
      <c r="B93" s="230">
        <v>10555</v>
      </c>
      <c r="C93" s="144" t="s">
        <v>115</v>
      </c>
      <c r="D93" s="144" t="s">
        <v>116</v>
      </c>
      <c r="E93" s="145">
        <v>21912.6</v>
      </c>
      <c r="F93" s="129">
        <f t="shared" si="9"/>
        <v>21912.6</v>
      </c>
      <c r="G93" s="144" t="s">
        <v>117</v>
      </c>
      <c r="H93" s="170">
        <f t="shared" si="10"/>
        <v>0</v>
      </c>
      <c r="I93" s="135"/>
      <c r="J93" s="146" t="s">
        <v>190</v>
      </c>
      <c r="K93" s="146" t="s">
        <v>115</v>
      </c>
      <c r="L93" s="147">
        <v>0</v>
      </c>
      <c r="M93" s="147">
        <v>532</v>
      </c>
      <c r="N93" s="147">
        <v>0</v>
      </c>
      <c r="O93" s="147">
        <v>188</v>
      </c>
      <c r="P93" s="147">
        <v>3.2</v>
      </c>
      <c r="Q93" s="164">
        <v>0.27</v>
      </c>
      <c r="R93" s="147">
        <v>1.2</v>
      </c>
      <c r="S93" s="146"/>
      <c r="Z93" s="222"/>
      <c r="AA93" s="222"/>
      <c r="AB93" s="222"/>
      <c r="AC93" s="222"/>
      <c r="AD93" s="222"/>
      <c r="AE93" s="222"/>
      <c r="AF93" s="222" t="s">
        <v>410</v>
      </c>
      <c r="AG93" s="222" t="s">
        <v>410</v>
      </c>
      <c r="AH93" s="222" t="s">
        <v>410</v>
      </c>
      <c r="AI93" s="222"/>
      <c r="AJ93" s="222"/>
      <c r="AK93" s="222" t="s">
        <v>410</v>
      </c>
      <c r="AL93" s="222"/>
      <c r="AM93" s="222"/>
      <c r="AN93" s="222"/>
      <c r="AO93" s="222"/>
      <c r="AP93" s="222"/>
      <c r="AQ93" s="222"/>
      <c r="AR93" s="222"/>
      <c r="AS93" s="222"/>
      <c r="AT93" s="222"/>
      <c r="AU93" s="222"/>
      <c r="AV93" s="232">
        <f t="shared" si="11"/>
        <v>10850.54</v>
      </c>
      <c r="AW93" s="233">
        <f t="shared" si="12"/>
        <v>0.49517355311555916</v>
      </c>
    </row>
    <row r="94" spans="1:49" ht="14.25" x14ac:dyDescent="0.2">
      <c r="A94" s="144" t="s">
        <v>191</v>
      </c>
      <c r="B94" s="230">
        <v>14904</v>
      </c>
      <c r="C94" s="144" t="s">
        <v>115</v>
      </c>
      <c r="D94" s="144" t="s">
        <v>116</v>
      </c>
      <c r="E94" s="145">
        <v>21912.6</v>
      </c>
      <c r="F94" s="129">
        <f t="shared" si="9"/>
        <v>21912.6</v>
      </c>
      <c r="G94" s="144" t="s">
        <v>117</v>
      </c>
      <c r="H94" s="170">
        <f t="shared" si="10"/>
        <v>0</v>
      </c>
      <c r="I94" s="135"/>
      <c r="J94" s="146" t="s">
        <v>191</v>
      </c>
      <c r="K94" s="146" t="s">
        <v>115</v>
      </c>
      <c r="L94" s="147">
        <v>0</v>
      </c>
      <c r="M94" s="147">
        <v>752</v>
      </c>
      <c r="N94" s="147">
        <v>0</v>
      </c>
      <c r="O94" s="147">
        <v>262</v>
      </c>
      <c r="P94" s="147">
        <v>4.5</v>
      </c>
      <c r="Q94" s="164">
        <v>0.39</v>
      </c>
      <c r="R94" s="147">
        <v>1.7</v>
      </c>
      <c r="S94" s="146"/>
      <c r="Z94" s="222"/>
      <c r="AA94" s="222"/>
      <c r="AB94" s="222"/>
      <c r="AC94" s="222"/>
      <c r="AD94" s="222"/>
      <c r="AE94" s="222"/>
      <c r="AF94" s="222" t="s">
        <v>410</v>
      </c>
      <c r="AG94" s="222" t="s">
        <v>410</v>
      </c>
      <c r="AH94" s="222" t="s">
        <v>410</v>
      </c>
      <c r="AI94" s="222"/>
      <c r="AJ94" s="222"/>
      <c r="AK94" s="222" t="s">
        <v>410</v>
      </c>
      <c r="AL94" s="222"/>
      <c r="AM94" s="222"/>
      <c r="AN94" s="222"/>
      <c r="AO94" s="222"/>
      <c r="AP94" s="222"/>
      <c r="AQ94" s="222"/>
      <c r="AR94" s="222"/>
      <c r="AS94" s="222"/>
      <c r="AT94" s="222"/>
      <c r="AU94" s="222"/>
      <c r="AV94" s="232">
        <f t="shared" si="11"/>
        <v>15321.312</v>
      </c>
      <c r="AW94" s="233">
        <f t="shared" si="12"/>
        <v>0.69920100763944038</v>
      </c>
    </row>
    <row r="95" spans="1:49" ht="14.25" x14ac:dyDescent="0.2">
      <c r="A95" s="144" t="s">
        <v>192</v>
      </c>
      <c r="B95" s="230">
        <v>21038</v>
      </c>
      <c r="C95" s="144" t="s">
        <v>115</v>
      </c>
      <c r="D95" s="144" t="s">
        <v>120</v>
      </c>
      <c r="E95" s="145">
        <v>30677.65</v>
      </c>
      <c r="F95" s="129">
        <f t="shared" si="9"/>
        <v>30677.650000000005</v>
      </c>
      <c r="G95" s="144" t="s">
        <v>117</v>
      </c>
      <c r="H95" s="170">
        <f t="shared" si="10"/>
        <v>0</v>
      </c>
      <c r="I95" s="135"/>
      <c r="J95" s="146" t="s">
        <v>192</v>
      </c>
      <c r="K95" s="146" t="s">
        <v>115</v>
      </c>
      <c r="L95" s="147">
        <v>0</v>
      </c>
      <c r="M95" s="147">
        <v>1065</v>
      </c>
      <c r="N95" s="147">
        <v>0</v>
      </c>
      <c r="O95" s="147">
        <v>368</v>
      </c>
      <c r="P95" s="147">
        <v>6.4</v>
      </c>
      <c r="Q95" s="164">
        <v>0.55000000000000004</v>
      </c>
      <c r="R95" s="147">
        <v>2.4</v>
      </c>
      <c r="S95" s="146"/>
      <c r="Z95" s="222"/>
      <c r="AA95" s="222"/>
      <c r="AB95" s="222"/>
      <c r="AC95" s="222"/>
      <c r="AD95" s="222"/>
      <c r="AE95" s="222"/>
      <c r="AF95" s="222" t="s">
        <v>410</v>
      </c>
      <c r="AG95" s="222" t="s">
        <v>410</v>
      </c>
      <c r="AH95" s="222" t="s">
        <v>410</v>
      </c>
      <c r="AI95" s="222"/>
      <c r="AJ95" s="222"/>
      <c r="AK95" s="222" t="s">
        <v>410</v>
      </c>
      <c r="AL95" s="222"/>
      <c r="AM95" s="222"/>
      <c r="AN95" s="222"/>
      <c r="AO95" s="222"/>
      <c r="AP95" s="222"/>
      <c r="AQ95" s="222"/>
      <c r="AR95" s="222"/>
      <c r="AS95" s="222"/>
      <c r="AT95" s="222"/>
      <c r="AU95" s="222"/>
      <c r="AV95" s="232">
        <f t="shared" si="11"/>
        <v>21627.063999999998</v>
      </c>
      <c r="AW95" s="233">
        <f t="shared" si="12"/>
        <v>0.70497785847351402</v>
      </c>
    </row>
    <row r="96" spans="1:49" ht="14.25" x14ac:dyDescent="0.2">
      <c r="A96" s="144" t="s">
        <v>193</v>
      </c>
      <c r="B96" s="145">
        <v>216.52</v>
      </c>
      <c r="C96" s="144" t="s">
        <v>283</v>
      </c>
      <c r="D96" s="144" t="s">
        <v>111</v>
      </c>
      <c r="E96" s="145">
        <v>219.1</v>
      </c>
      <c r="F96" s="129">
        <f t="shared" si="9"/>
        <v>219.1</v>
      </c>
      <c r="G96" s="144" t="s">
        <v>99</v>
      </c>
      <c r="H96" s="170">
        <f t="shared" si="10"/>
        <v>0</v>
      </c>
      <c r="I96" s="135"/>
      <c r="J96" s="146" t="s">
        <v>300</v>
      </c>
      <c r="K96" s="146" t="s">
        <v>283</v>
      </c>
      <c r="L96" s="147">
        <v>0</v>
      </c>
      <c r="M96" s="147">
        <v>1.5</v>
      </c>
      <c r="N96" s="147">
        <v>0</v>
      </c>
      <c r="O96" s="147">
        <v>1.4</v>
      </c>
      <c r="P96" s="147">
        <v>0.6</v>
      </c>
      <c r="Q96" s="164">
        <v>1.0800000000000001E-2</v>
      </c>
      <c r="R96" s="147">
        <v>0</v>
      </c>
      <c r="S96" s="146"/>
      <c r="Z96" s="222"/>
      <c r="AA96" s="222"/>
      <c r="AB96" s="222"/>
      <c r="AC96" s="222"/>
      <c r="AD96" s="222"/>
      <c r="AE96" s="222"/>
      <c r="AF96" s="222"/>
      <c r="AG96" s="222"/>
      <c r="AH96" s="222"/>
      <c r="AI96" s="222" t="s">
        <v>410</v>
      </c>
      <c r="AJ96" s="222"/>
      <c r="AK96" s="222"/>
      <c r="AL96" s="222"/>
      <c r="AM96" s="222"/>
      <c r="AN96" s="222"/>
      <c r="AO96" s="222"/>
      <c r="AP96" s="222"/>
      <c r="AQ96" s="222"/>
      <c r="AR96" s="222"/>
      <c r="AS96" s="222"/>
      <c r="AT96" s="222"/>
      <c r="AU96" s="222"/>
      <c r="AV96" s="232">
        <f t="shared" si="11"/>
        <v>222.58256</v>
      </c>
      <c r="AW96" s="233">
        <f t="shared" si="12"/>
        <v>1.0158948425376542</v>
      </c>
    </row>
    <row r="97" spans="1:49" ht="14.25" x14ac:dyDescent="0.2">
      <c r="A97" s="144" t="s">
        <v>194</v>
      </c>
      <c r="B97" s="145" t="s">
        <v>85</v>
      </c>
      <c r="C97" s="144"/>
      <c r="D97" s="144" t="s">
        <v>103</v>
      </c>
      <c r="E97" s="145" t="s">
        <v>85</v>
      </c>
      <c r="F97" s="129" t="str">
        <f t="shared" si="9"/>
        <v>FPA</v>
      </c>
      <c r="G97" s="144" t="s">
        <v>117</v>
      </c>
      <c r="H97" s="170">
        <f t="shared" si="10"/>
        <v>0</v>
      </c>
      <c r="I97" s="135"/>
      <c r="J97" s="146" t="s">
        <v>194</v>
      </c>
      <c r="K97" s="146" t="s">
        <v>301</v>
      </c>
      <c r="L97" s="147">
        <v>0</v>
      </c>
      <c r="M97" s="147">
        <v>675</v>
      </c>
      <c r="N97" s="147">
        <v>0</v>
      </c>
      <c r="O97" s="147">
        <v>550</v>
      </c>
      <c r="P97" s="147">
        <v>2.6</v>
      </c>
      <c r="Q97" s="164">
        <v>0.14000000000000001</v>
      </c>
      <c r="R97" s="147" t="s">
        <v>386</v>
      </c>
      <c r="S97" s="146"/>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32" t="e">
        <f t="shared" si="11"/>
        <v>#VALUE!</v>
      </c>
      <c r="AW97" s="233" t="e">
        <f t="shared" si="12"/>
        <v>#VALUE!</v>
      </c>
    </row>
    <row r="98" spans="1:49" ht="14.25" x14ac:dyDescent="0.2">
      <c r="A98" s="144" t="s">
        <v>195</v>
      </c>
      <c r="B98" s="145">
        <v>151.55000000000001</v>
      </c>
      <c r="C98" s="144" t="s">
        <v>283</v>
      </c>
      <c r="D98" s="144" t="s">
        <v>196</v>
      </c>
      <c r="E98" s="145">
        <v>153.4</v>
      </c>
      <c r="F98" s="129">
        <f t="shared" si="9"/>
        <v>153.4</v>
      </c>
      <c r="G98" s="144" t="s">
        <v>99</v>
      </c>
      <c r="H98" s="170">
        <f t="shared" si="10"/>
        <v>0</v>
      </c>
      <c r="I98" s="135"/>
      <c r="J98" s="146" t="s">
        <v>302</v>
      </c>
      <c r="K98" s="146" t="s">
        <v>283</v>
      </c>
      <c r="L98" s="147">
        <v>0</v>
      </c>
      <c r="M98" s="147">
        <v>2.4500000000000002</v>
      </c>
      <c r="N98" s="147">
        <v>0</v>
      </c>
      <c r="O98" s="147">
        <v>1.91</v>
      </c>
      <c r="P98" s="147">
        <v>0.25</v>
      </c>
      <c r="Q98" s="164">
        <v>5.1000000000000004E-3</v>
      </c>
      <c r="R98" s="147">
        <v>0</v>
      </c>
      <c r="S98" s="146"/>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32">
        <f t="shared" si="11"/>
        <v>155.79339999999999</v>
      </c>
      <c r="AW98" s="233">
        <f t="shared" si="12"/>
        <v>1.0156023468057365</v>
      </c>
    </row>
    <row r="99" spans="1:49" ht="14.25" x14ac:dyDescent="0.2">
      <c r="A99" s="144" t="s">
        <v>197</v>
      </c>
      <c r="B99" s="145">
        <v>82.8</v>
      </c>
      <c r="C99" s="144" t="s">
        <v>283</v>
      </c>
      <c r="D99" s="144" t="s">
        <v>101</v>
      </c>
      <c r="E99" s="145">
        <v>153.4</v>
      </c>
      <c r="F99" s="129">
        <f t="shared" si="9"/>
        <v>153.4</v>
      </c>
      <c r="G99" s="144" t="s">
        <v>99</v>
      </c>
      <c r="H99" s="170">
        <f t="shared" si="10"/>
        <v>0</v>
      </c>
      <c r="I99" s="135"/>
      <c r="J99" s="146" t="s">
        <v>197</v>
      </c>
      <c r="K99" s="146" t="s">
        <v>283</v>
      </c>
      <c r="L99" s="147">
        <v>0</v>
      </c>
      <c r="M99" s="147">
        <v>2.4500000000000002</v>
      </c>
      <c r="N99" s="147">
        <v>0</v>
      </c>
      <c r="O99" s="147">
        <v>1.91</v>
      </c>
      <c r="P99" s="147">
        <v>9.1999999999999998E-2</v>
      </c>
      <c r="Q99" s="164">
        <v>1.1000000000000001E-3</v>
      </c>
      <c r="R99" s="147">
        <v>0</v>
      </c>
      <c r="S99" s="146"/>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32">
        <f t="shared" si="11"/>
        <v>85.118400000000008</v>
      </c>
      <c r="AW99" s="233">
        <f t="shared" si="12"/>
        <v>0.55487874837027384</v>
      </c>
    </row>
    <row r="100" spans="1:49" ht="14.25" x14ac:dyDescent="0.2">
      <c r="A100" s="144" t="s">
        <v>198</v>
      </c>
      <c r="B100" s="145" t="s">
        <v>85</v>
      </c>
      <c r="C100" s="144"/>
      <c r="D100" s="144" t="s">
        <v>103</v>
      </c>
      <c r="E100" s="145" t="s">
        <v>85</v>
      </c>
      <c r="F100" s="129" t="str">
        <f t="shared" si="9"/>
        <v>FPA</v>
      </c>
      <c r="G100" s="144" t="s">
        <v>99</v>
      </c>
      <c r="H100" s="170">
        <f t="shared" si="10"/>
        <v>0</v>
      </c>
      <c r="I100" s="135"/>
      <c r="J100" s="146" t="s">
        <v>198</v>
      </c>
      <c r="K100" s="146" t="s">
        <v>85</v>
      </c>
      <c r="L100" s="147">
        <v>0</v>
      </c>
      <c r="M100" s="147">
        <v>0</v>
      </c>
      <c r="N100" s="147">
        <v>0</v>
      </c>
      <c r="O100" s="147">
        <v>0</v>
      </c>
      <c r="P100" s="147">
        <v>0</v>
      </c>
      <c r="Q100" s="164">
        <v>0</v>
      </c>
      <c r="R100" s="147">
        <v>0</v>
      </c>
      <c r="S100" s="146"/>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32" t="e">
        <f t="shared" si="11"/>
        <v>#VALUE!</v>
      </c>
      <c r="AW100" s="233" t="e">
        <f t="shared" si="12"/>
        <v>#VALUE!</v>
      </c>
    </row>
    <row r="101" spans="1:49" ht="14.25" x14ac:dyDescent="0.2">
      <c r="A101" s="144" t="s">
        <v>199</v>
      </c>
      <c r="B101" s="145">
        <v>0</v>
      </c>
      <c r="C101" s="144" t="s">
        <v>105</v>
      </c>
      <c r="D101" s="144" t="s">
        <v>126</v>
      </c>
      <c r="E101" s="145">
        <v>0</v>
      </c>
      <c r="F101" s="129">
        <f t="shared" si="9"/>
        <v>0</v>
      </c>
      <c r="G101" s="144" t="s">
        <v>99</v>
      </c>
      <c r="H101" s="170">
        <f t="shared" si="10"/>
        <v>0</v>
      </c>
      <c r="I101" s="135"/>
      <c r="J101" s="146" t="s">
        <v>199</v>
      </c>
      <c r="K101" s="146" t="s">
        <v>85</v>
      </c>
      <c r="L101" s="147">
        <v>0</v>
      </c>
      <c r="M101" s="147">
        <v>0</v>
      </c>
      <c r="N101" s="147">
        <v>0</v>
      </c>
      <c r="O101" s="147">
        <v>0</v>
      </c>
      <c r="P101" s="147">
        <v>0</v>
      </c>
      <c r="Q101" s="164">
        <v>0</v>
      </c>
      <c r="R101" s="147">
        <v>0</v>
      </c>
      <c r="S101" s="146"/>
      <c r="Z101" s="222" t="s">
        <v>410</v>
      </c>
      <c r="AA101" s="222" t="s">
        <v>410</v>
      </c>
      <c r="AB101" s="222" t="s">
        <v>410</v>
      </c>
      <c r="AC101" s="222" t="s">
        <v>410</v>
      </c>
      <c r="AD101" s="222" t="s">
        <v>410</v>
      </c>
      <c r="AE101" s="222" t="s">
        <v>410</v>
      </c>
      <c r="AF101" s="222" t="s">
        <v>410</v>
      </c>
      <c r="AG101" s="222" t="s">
        <v>410</v>
      </c>
      <c r="AH101" s="222" t="s">
        <v>410</v>
      </c>
      <c r="AI101" s="222" t="s">
        <v>410</v>
      </c>
      <c r="AJ101" s="222" t="s">
        <v>410</v>
      </c>
      <c r="AK101" s="222" t="s">
        <v>410</v>
      </c>
      <c r="AL101" s="222" t="s">
        <v>410</v>
      </c>
      <c r="AM101" s="222" t="s">
        <v>410</v>
      </c>
      <c r="AN101" s="222" t="s">
        <v>410</v>
      </c>
      <c r="AO101" s="222" t="s">
        <v>410</v>
      </c>
      <c r="AP101" s="222" t="s">
        <v>410</v>
      </c>
      <c r="AQ101" s="222" t="s">
        <v>410</v>
      </c>
      <c r="AR101" s="222" t="s">
        <v>410</v>
      </c>
      <c r="AS101" s="222" t="s">
        <v>410</v>
      </c>
      <c r="AT101" s="222" t="s">
        <v>410</v>
      </c>
      <c r="AU101" s="222" t="s">
        <v>410</v>
      </c>
      <c r="AV101" s="232">
        <f t="shared" si="11"/>
        <v>0</v>
      </c>
      <c r="AW101" s="233" t="e">
        <f t="shared" si="12"/>
        <v>#DIV/0!</v>
      </c>
    </row>
    <row r="102" spans="1:49" ht="14.25" x14ac:dyDescent="0.2">
      <c r="A102" s="144" t="s">
        <v>200</v>
      </c>
      <c r="B102" s="145" t="s">
        <v>85</v>
      </c>
      <c r="C102" s="144"/>
      <c r="D102" s="144" t="s">
        <v>103</v>
      </c>
      <c r="E102" s="145" t="s">
        <v>85</v>
      </c>
      <c r="F102" s="129" t="str">
        <f t="shared" si="9"/>
        <v>FPA</v>
      </c>
      <c r="G102" s="144" t="s">
        <v>99</v>
      </c>
      <c r="H102" s="170">
        <f t="shared" si="10"/>
        <v>0</v>
      </c>
      <c r="I102" s="135"/>
      <c r="J102" s="146" t="s">
        <v>200</v>
      </c>
      <c r="K102" s="146" t="s">
        <v>85</v>
      </c>
      <c r="L102" s="147">
        <v>0</v>
      </c>
      <c r="M102" s="147">
        <v>0</v>
      </c>
      <c r="N102" s="147">
        <v>0</v>
      </c>
      <c r="O102" s="147">
        <v>0</v>
      </c>
      <c r="P102" s="147">
        <v>0</v>
      </c>
      <c r="Q102" s="164">
        <v>0</v>
      </c>
      <c r="R102" s="147">
        <v>0</v>
      </c>
      <c r="S102" s="146"/>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32" t="e">
        <f t="shared" si="11"/>
        <v>#VALUE!</v>
      </c>
      <c r="AW102" s="233" t="e">
        <f t="shared" si="12"/>
        <v>#VALUE!</v>
      </c>
    </row>
    <row r="103" spans="1:49" ht="14.25" x14ac:dyDescent="0.2">
      <c r="A103" s="144" t="s">
        <v>201</v>
      </c>
      <c r="B103" s="145">
        <v>0</v>
      </c>
      <c r="C103" s="144" t="s">
        <v>105</v>
      </c>
      <c r="D103" s="144" t="s">
        <v>106</v>
      </c>
      <c r="E103" s="145">
        <v>0</v>
      </c>
      <c r="F103" s="129">
        <f t="shared" si="9"/>
        <v>0</v>
      </c>
      <c r="G103" s="144" t="s">
        <v>99</v>
      </c>
      <c r="H103" s="170">
        <f t="shared" si="10"/>
        <v>0</v>
      </c>
      <c r="I103" s="135"/>
      <c r="J103" s="146" t="s">
        <v>201</v>
      </c>
      <c r="K103" s="146" t="s">
        <v>85</v>
      </c>
      <c r="L103" s="147">
        <v>0</v>
      </c>
      <c r="M103" s="147">
        <v>0</v>
      </c>
      <c r="N103" s="147">
        <v>0</v>
      </c>
      <c r="O103" s="147">
        <v>0</v>
      </c>
      <c r="P103" s="147">
        <v>0</v>
      </c>
      <c r="Q103" s="164">
        <v>0</v>
      </c>
      <c r="R103" s="147">
        <v>0</v>
      </c>
      <c r="S103" s="146"/>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32">
        <f t="shared" si="11"/>
        <v>0</v>
      </c>
      <c r="AW103" s="233" t="e">
        <f t="shared" si="12"/>
        <v>#DIV/0!</v>
      </c>
    </row>
    <row r="104" spans="1:49" ht="14.25" x14ac:dyDescent="0.2">
      <c r="A104" s="144" t="s">
        <v>202</v>
      </c>
      <c r="B104" s="145">
        <v>75.8</v>
      </c>
      <c r="C104" s="144" t="s">
        <v>283</v>
      </c>
      <c r="D104" s="144" t="s">
        <v>130</v>
      </c>
      <c r="E104" s="145">
        <v>76.75</v>
      </c>
      <c r="F104" s="129">
        <f t="shared" si="9"/>
        <v>76.75</v>
      </c>
      <c r="G104" s="144" t="s">
        <v>99</v>
      </c>
      <c r="H104" s="170">
        <f t="shared" si="10"/>
        <v>0</v>
      </c>
      <c r="I104" s="135"/>
      <c r="J104" s="146" t="s">
        <v>202</v>
      </c>
      <c r="K104" s="146" t="s">
        <v>283</v>
      </c>
      <c r="L104" s="147">
        <v>0</v>
      </c>
      <c r="M104" s="147">
        <v>3.31</v>
      </c>
      <c r="N104" s="147">
        <v>0</v>
      </c>
      <c r="O104" s="147">
        <v>1.66</v>
      </c>
      <c r="P104" s="147">
        <v>0.1</v>
      </c>
      <c r="Q104" s="164">
        <v>5.4000000000000003E-3</v>
      </c>
      <c r="R104" s="147">
        <v>0</v>
      </c>
      <c r="S104" s="146"/>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32">
        <f t="shared" si="11"/>
        <v>77.922399999999996</v>
      </c>
      <c r="AW104" s="233">
        <f t="shared" si="12"/>
        <v>1.0152755700325733</v>
      </c>
    </row>
    <row r="105" spans="1:49" ht="14.25" x14ac:dyDescent="0.2">
      <c r="A105" s="144" t="s">
        <v>203</v>
      </c>
      <c r="B105" s="145" t="s">
        <v>85</v>
      </c>
      <c r="C105" s="144"/>
      <c r="D105" s="144" t="s">
        <v>103</v>
      </c>
      <c r="E105" s="145" t="s">
        <v>85</v>
      </c>
      <c r="F105" s="129" t="str">
        <f t="shared" si="9"/>
        <v>FPA</v>
      </c>
      <c r="G105" s="144" t="s">
        <v>99</v>
      </c>
      <c r="H105" s="170">
        <f t="shared" si="10"/>
        <v>0</v>
      </c>
      <c r="I105" s="135"/>
      <c r="J105" s="146" t="s">
        <v>203</v>
      </c>
      <c r="K105" s="146" t="s">
        <v>85</v>
      </c>
      <c r="L105" s="147">
        <v>0</v>
      </c>
      <c r="M105" s="147">
        <v>0</v>
      </c>
      <c r="N105" s="147">
        <v>0</v>
      </c>
      <c r="O105" s="147">
        <v>0</v>
      </c>
      <c r="P105" s="147">
        <v>0</v>
      </c>
      <c r="Q105" s="164">
        <v>0</v>
      </c>
      <c r="R105" s="147">
        <v>0</v>
      </c>
      <c r="S105" s="146"/>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32" t="e">
        <f t="shared" si="11"/>
        <v>#VALUE!</v>
      </c>
      <c r="AW105" s="233" t="e">
        <f t="shared" si="12"/>
        <v>#VALUE!</v>
      </c>
    </row>
    <row r="106" spans="1:49" ht="14.25" x14ac:dyDescent="0.2">
      <c r="A106" s="144" t="s">
        <v>204</v>
      </c>
      <c r="B106" s="230">
        <v>10719</v>
      </c>
      <c r="C106" s="144" t="s">
        <v>205</v>
      </c>
      <c r="D106" s="144" t="s">
        <v>206</v>
      </c>
      <c r="E106" s="145">
        <v>21912.6</v>
      </c>
      <c r="F106" s="129">
        <f t="shared" si="9"/>
        <v>21912.6</v>
      </c>
      <c r="G106" s="144" t="s">
        <v>117</v>
      </c>
      <c r="H106" s="170">
        <f t="shared" si="10"/>
        <v>0</v>
      </c>
      <c r="I106" s="135"/>
      <c r="J106" s="146" t="s">
        <v>304</v>
      </c>
      <c r="K106" s="146" t="s">
        <v>303</v>
      </c>
      <c r="L106" s="147">
        <v>0</v>
      </c>
      <c r="M106" s="147">
        <v>388</v>
      </c>
      <c r="N106" s="147">
        <v>0</v>
      </c>
      <c r="O106" s="147">
        <v>303</v>
      </c>
      <c r="P106" s="147">
        <v>3.2</v>
      </c>
      <c r="Q106" s="164">
        <v>0.27</v>
      </c>
      <c r="R106" s="147">
        <v>1.2</v>
      </c>
      <c r="S106" s="146"/>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32">
        <f t="shared" si="11"/>
        <v>11019.132</v>
      </c>
      <c r="AW106" s="233">
        <f t="shared" si="12"/>
        <v>0.50286739136387282</v>
      </c>
    </row>
    <row r="107" spans="1:49" ht="14.25" x14ac:dyDescent="0.2">
      <c r="A107" s="144" t="s">
        <v>207</v>
      </c>
      <c r="B107" s="230">
        <v>18340</v>
      </c>
      <c r="C107" s="144" t="s">
        <v>205</v>
      </c>
      <c r="D107" s="144" t="s">
        <v>206</v>
      </c>
      <c r="E107" s="145">
        <v>21912.6</v>
      </c>
      <c r="F107" s="129">
        <f t="shared" si="9"/>
        <v>21912.6</v>
      </c>
      <c r="G107" s="144" t="s">
        <v>117</v>
      </c>
      <c r="H107" s="170">
        <f t="shared" si="10"/>
        <v>0</v>
      </c>
      <c r="I107" s="135"/>
      <c r="J107" s="146" t="s">
        <v>305</v>
      </c>
      <c r="K107" s="146" t="s">
        <v>303</v>
      </c>
      <c r="L107" s="147">
        <v>0</v>
      </c>
      <c r="M107" s="147">
        <v>1020</v>
      </c>
      <c r="N107" s="147">
        <v>0</v>
      </c>
      <c r="O107" s="147">
        <v>391</v>
      </c>
      <c r="P107" s="147">
        <v>4.5</v>
      </c>
      <c r="Q107" s="164">
        <v>0.39</v>
      </c>
      <c r="R107" s="147">
        <v>1.7</v>
      </c>
      <c r="S107" s="146"/>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32">
        <f t="shared" si="11"/>
        <v>18853.52</v>
      </c>
      <c r="AW107" s="233">
        <f t="shared" si="12"/>
        <v>0.86039630167118464</v>
      </c>
    </row>
    <row r="108" spans="1:49" ht="14.25" x14ac:dyDescent="0.2">
      <c r="A108" s="144" t="s">
        <v>208</v>
      </c>
      <c r="B108" s="230">
        <v>25890</v>
      </c>
      <c r="C108" s="144" t="s">
        <v>205</v>
      </c>
      <c r="D108" s="144" t="s">
        <v>209</v>
      </c>
      <c r="E108" s="145">
        <v>30677.65</v>
      </c>
      <c r="F108" s="129">
        <f t="shared" si="9"/>
        <v>30677.650000000005</v>
      </c>
      <c r="G108" s="144" t="s">
        <v>117</v>
      </c>
      <c r="H108" s="170">
        <f t="shared" si="10"/>
        <v>0</v>
      </c>
      <c r="I108" s="135"/>
      <c r="J108" s="146" t="s">
        <v>306</v>
      </c>
      <c r="K108" s="146" t="s">
        <v>303</v>
      </c>
      <c r="L108" s="147">
        <v>0</v>
      </c>
      <c r="M108" s="147">
        <v>1440</v>
      </c>
      <c r="N108" s="147">
        <v>0</v>
      </c>
      <c r="O108" s="147">
        <v>552</v>
      </c>
      <c r="P108" s="147">
        <v>6.4</v>
      </c>
      <c r="Q108" s="164">
        <v>0.55000000000000004</v>
      </c>
      <c r="R108" s="147">
        <v>2.4</v>
      </c>
      <c r="S108" s="146"/>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32">
        <f t="shared" si="11"/>
        <v>26614.92</v>
      </c>
      <c r="AW108" s="233">
        <f t="shared" si="12"/>
        <v>0.86756710504227008</v>
      </c>
    </row>
    <row r="109" spans="1:49" ht="14.25" x14ac:dyDescent="0.2">
      <c r="A109" s="144" t="s">
        <v>210</v>
      </c>
      <c r="B109" s="145">
        <v>54.15</v>
      </c>
      <c r="C109" s="144" t="s">
        <v>283</v>
      </c>
      <c r="D109" s="144" t="s">
        <v>184</v>
      </c>
      <c r="E109" s="145">
        <v>54.8</v>
      </c>
      <c r="F109" s="129">
        <f t="shared" si="9"/>
        <v>54.8</v>
      </c>
      <c r="G109" s="144" t="s">
        <v>99</v>
      </c>
      <c r="H109" s="170">
        <f t="shared" si="10"/>
        <v>0</v>
      </c>
      <c r="I109" s="135"/>
      <c r="J109" s="146" t="s">
        <v>210</v>
      </c>
      <c r="K109" s="146" t="s">
        <v>283</v>
      </c>
      <c r="L109" s="147">
        <v>0</v>
      </c>
      <c r="M109" s="147">
        <v>0.97</v>
      </c>
      <c r="N109" s="147">
        <v>0</v>
      </c>
      <c r="O109" s="147">
        <v>0.97</v>
      </c>
      <c r="P109" s="147">
        <v>0.1</v>
      </c>
      <c r="Q109" s="164">
        <v>0</v>
      </c>
      <c r="R109" s="147">
        <v>0</v>
      </c>
      <c r="S109" s="146"/>
      <c r="Z109" s="222"/>
      <c r="AA109" s="222"/>
      <c r="AB109" s="222"/>
      <c r="AC109" s="222"/>
      <c r="AD109" s="222"/>
      <c r="AE109" s="222"/>
      <c r="AF109" s="222"/>
      <c r="AG109" s="222"/>
      <c r="AH109" s="222"/>
      <c r="AI109" s="222"/>
      <c r="AJ109" s="222"/>
      <c r="AK109" s="222"/>
      <c r="AL109" s="222"/>
      <c r="AM109" s="222"/>
      <c r="AN109" s="222"/>
      <c r="AO109" s="222"/>
      <c r="AP109" s="222"/>
      <c r="AQ109" s="222" t="s">
        <v>410</v>
      </c>
      <c r="AR109" s="222" t="s">
        <v>410</v>
      </c>
      <c r="AS109" s="222"/>
      <c r="AT109" s="222"/>
      <c r="AU109" s="222"/>
      <c r="AV109" s="232">
        <f t="shared" si="11"/>
        <v>55.666199999999996</v>
      </c>
      <c r="AW109" s="233">
        <f t="shared" si="12"/>
        <v>1.0158065693430658</v>
      </c>
    </row>
    <row r="110" spans="1:49" ht="14.25" x14ac:dyDescent="0.2">
      <c r="A110" s="144" t="s">
        <v>211</v>
      </c>
      <c r="B110" s="145">
        <v>112.67</v>
      </c>
      <c r="C110" s="144" t="s">
        <v>283</v>
      </c>
      <c r="D110" s="144" t="s">
        <v>143</v>
      </c>
      <c r="E110" s="145">
        <v>153.80000000000001</v>
      </c>
      <c r="F110" s="129">
        <f t="shared" si="9"/>
        <v>153.80000000000001</v>
      </c>
      <c r="G110" s="144" t="s">
        <v>117</v>
      </c>
      <c r="H110" s="170">
        <f t="shared" si="10"/>
        <v>0</v>
      </c>
      <c r="I110" s="135"/>
      <c r="J110" s="146" t="s">
        <v>211</v>
      </c>
      <c r="K110" s="146" t="s">
        <v>283</v>
      </c>
      <c r="L110" s="147">
        <v>0</v>
      </c>
      <c r="M110" s="147">
        <f>475/10.9</f>
        <v>43.577981651376149</v>
      </c>
      <c r="N110" s="147">
        <v>0</v>
      </c>
      <c r="O110" s="147">
        <f>371/10.9</f>
        <v>34.036697247706421</v>
      </c>
      <c r="P110" s="147">
        <f>2.7/10.9</f>
        <v>0.24770642201834864</v>
      </c>
      <c r="Q110" s="164">
        <f>0.14/10.9</f>
        <v>1.2844036697247707E-2</v>
      </c>
      <c r="R110" s="147">
        <f>1/10.9</f>
        <v>9.1743119266055037E-2</v>
      </c>
      <c r="S110" s="146" t="s">
        <v>336</v>
      </c>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32">
        <f t="shared" si="11"/>
        <v>115.82476000000001</v>
      </c>
      <c r="AW110" s="233">
        <f t="shared" si="12"/>
        <v>0.75308686605981801</v>
      </c>
    </row>
    <row r="111" spans="1:49" ht="14.25" x14ac:dyDescent="0.2">
      <c r="A111" s="144" t="s">
        <v>212</v>
      </c>
      <c r="B111" s="230">
        <v>8196</v>
      </c>
      <c r="C111" s="144" t="s">
        <v>133</v>
      </c>
      <c r="D111" s="144" t="s">
        <v>213</v>
      </c>
      <c r="E111" s="145">
        <v>21912.6</v>
      </c>
      <c r="F111" s="129">
        <f t="shared" si="9"/>
        <v>21912.6</v>
      </c>
      <c r="G111" s="144" t="s">
        <v>117</v>
      </c>
      <c r="H111" s="170">
        <f t="shared" si="10"/>
        <v>0</v>
      </c>
      <c r="I111" s="135"/>
      <c r="J111" s="146" t="s">
        <v>308</v>
      </c>
      <c r="K111" s="146" t="s">
        <v>309</v>
      </c>
      <c r="L111" s="147">
        <v>0</v>
      </c>
      <c r="M111" s="147">
        <v>325</v>
      </c>
      <c r="N111" s="147">
        <v>0</v>
      </c>
      <c r="O111" s="147">
        <v>115</v>
      </c>
      <c r="P111" s="147">
        <v>3.2</v>
      </c>
      <c r="Q111" s="164">
        <v>0.27</v>
      </c>
      <c r="R111" s="147">
        <v>1.2</v>
      </c>
      <c r="S111" s="146"/>
      <c r="Z111" s="222"/>
      <c r="AA111" s="222"/>
      <c r="AB111" s="222"/>
      <c r="AC111" s="222"/>
      <c r="AD111" s="222"/>
      <c r="AE111" s="222"/>
      <c r="AF111" s="222"/>
      <c r="AG111" s="222" t="s">
        <v>410</v>
      </c>
      <c r="AH111" s="222" t="s">
        <v>410</v>
      </c>
      <c r="AI111" s="222"/>
      <c r="AJ111" s="222"/>
      <c r="AK111" s="222" t="s">
        <v>410</v>
      </c>
      <c r="AL111" s="222"/>
      <c r="AM111" s="222"/>
      <c r="AN111" s="222"/>
      <c r="AO111" s="222"/>
      <c r="AP111" s="222"/>
      <c r="AQ111" s="222"/>
      <c r="AR111" s="222"/>
      <c r="AS111" s="222"/>
      <c r="AT111" s="222"/>
      <c r="AU111" s="222"/>
      <c r="AV111" s="232">
        <f t="shared" si="11"/>
        <v>8425.4879999999994</v>
      </c>
      <c r="AW111" s="233">
        <f t="shared" si="12"/>
        <v>0.38450425782426551</v>
      </c>
    </row>
    <row r="112" spans="1:49" ht="14.25" x14ac:dyDescent="0.2">
      <c r="A112" s="144" t="s">
        <v>214</v>
      </c>
      <c r="B112" s="230">
        <v>11570</v>
      </c>
      <c r="C112" s="144" t="s">
        <v>133</v>
      </c>
      <c r="D112" s="144" t="s">
        <v>213</v>
      </c>
      <c r="E112" s="145">
        <v>21912.6</v>
      </c>
      <c r="F112" s="129">
        <f t="shared" si="9"/>
        <v>21912.6</v>
      </c>
      <c r="G112" s="144" t="s">
        <v>117</v>
      </c>
      <c r="H112" s="170">
        <f t="shared" si="10"/>
        <v>0</v>
      </c>
      <c r="I112" s="135"/>
      <c r="J112" s="146" t="s">
        <v>310</v>
      </c>
      <c r="K112" s="146" t="s">
        <v>309</v>
      </c>
      <c r="L112" s="147">
        <v>0</v>
      </c>
      <c r="M112" s="147">
        <v>460</v>
      </c>
      <c r="N112" s="147">
        <v>0</v>
      </c>
      <c r="O112" s="147">
        <v>160</v>
      </c>
      <c r="P112" s="147">
        <v>4.5</v>
      </c>
      <c r="Q112" s="164">
        <v>0.39</v>
      </c>
      <c r="R112" s="147">
        <v>1.7</v>
      </c>
      <c r="S112" s="146"/>
      <c r="Z112" s="222"/>
      <c r="AA112" s="222"/>
      <c r="AB112" s="222"/>
      <c r="AC112" s="222"/>
      <c r="AD112" s="222"/>
      <c r="AE112" s="222"/>
      <c r="AF112" s="222"/>
      <c r="AG112" s="222" t="s">
        <v>410</v>
      </c>
      <c r="AH112" s="222" t="s">
        <v>410</v>
      </c>
      <c r="AI112" s="222"/>
      <c r="AJ112" s="222"/>
      <c r="AK112" s="222" t="s">
        <v>410</v>
      </c>
      <c r="AL112" s="222"/>
      <c r="AM112" s="222"/>
      <c r="AN112" s="222"/>
      <c r="AO112" s="222"/>
      <c r="AP112" s="222"/>
      <c r="AQ112" s="222"/>
      <c r="AR112" s="222"/>
      <c r="AS112" s="222"/>
      <c r="AT112" s="222"/>
      <c r="AU112" s="222"/>
      <c r="AV112" s="232">
        <f t="shared" si="11"/>
        <v>11893.96</v>
      </c>
      <c r="AW112" s="233">
        <f t="shared" si="12"/>
        <v>0.54279090568896438</v>
      </c>
    </row>
    <row r="113" spans="1:49" ht="14.25" x14ac:dyDescent="0.2">
      <c r="A113" s="144" t="s">
        <v>215</v>
      </c>
      <c r="B113" s="230">
        <v>16340</v>
      </c>
      <c r="C113" s="144" t="s">
        <v>133</v>
      </c>
      <c r="D113" s="144" t="s">
        <v>216</v>
      </c>
      <c r="E113" s="145">
        <v>30677.65</v>
      </c>
      <c r="F113" s="129">
        <f t="shared" ref="F113:F143" si="13">IF(E113="FPA","FPA",E113*$F$6/$E$6)</f>
        <v>30677.650000000005</v>
      </c>
      <c r="G113" s="144" t="s">
        <v>117</v>
      </c>
      <c r="H113" s="170">
        <f t="shared" ref="H113:H144" si="14">+IF(B113="FPA",0,IF(B113&gt;F113,1,0))</f>
        <v>0</v>
      </c>
      <c r="I113" s="135"/>
      <c r="J113" s="146" t="s">
        <v>311</v>
      </c>
      <c r="K113" s="146" t="s">
        <v>309</v>
      </c>
      <c r="L113" s="147">
        <v>0</v>
      </c>
      <c r="M113" s="147">
        <v>651</v>
      </c>
      <c r="N113" s="147">
        <v>0</v>
      </c>
      <c r="O113" s="147">
        <v>225</v>
      </c>
      <c r="P113" s="147">
        <v>6.4</v>
      </c>
      <c r="Q113" s="164">
        <v>0.55000000000000004</v>
      </c>
      <c r="R113" s="147">
        <v>2.4</v>
      </c>
      <c r="S113" s="146"/>
      <c r="Z113" s="222"/>
      <c r="AA113" s="222"/>
      <c r="AB113" s="222"/>
      <c r="AC113" s="222"/>
      <c r="AD113" s="222"/>
      <c r="AE113" s="222"/>
      <c r="AF113" s="222"/>
      <c r="AG113" s="222" t="s">
        <v>410</v>
      </c>
      <c r="AH113" s="222" t="s">
        <v>410</v>
      </c>
      <c r="AI113" s="222"/>
      <c r="AJ113" s="222"/>
      <c r="AK113" s="222" t="s">
        <v>410</v>
      </c>
      <c r="AL113" s="222"/>
      <c r="AM113" s="222"/>
      <c r="AN113" s="222"/>
      <c r="AO113" s="222"/>
      <c r="AP113" s="222"/>
      <c r="AQ113" s="222"/>
      <c r="AR113" s="222"/>
      <c r="AS113" s="222"/>
      <c r="AT113" s="222"/>
      <c r="AU113" s="222"/>
      <c r="AV113" s="232">
        <f t="shared" si="11"/>
        <v>16797.52</v>
      </c>
      <c r="AW113" s="233">
        <f t="shared" si="12"/>
        <v>0.54754911148670127</v>
      </c>
    </row>
    <row r="114" spans="1:49" ht="14.25" x14ac:dyDescent="0.2">
      <c r="A114" s="144" t="s">
        <v>217</v>
      </c>
      <c r="B114" s="230">
        <v>6670</v>
      </c>
      <c r="C114" s="144" t="s">
        <v>137</v>
      </c>
      <c r="D114" s="144" t="s">
        <v>138</v>
      </c>
      <c r="E114" s="145">
        <v>21912.6</v>
      </c>
      <c r="F114" s="129">
        <f t="shared" si="13"/>
        <v>21912.6</v>
      </c>
      <c r="G114" s="144" t="s">
        <v>117</v>
      </c>
      <c r="H114" s="170">
        <f t="shared" si="14"/>
        <v>0</v>
      </c>
      <c r="I114" s="135"/>
      <c r="J114" s="146" t="s">
        <v>307</v>
      </c>
      <c r="K114" s="146" t="s">
        <v>287</v>
      </c>
      <c r="L114" s="147">
        <v>0</v>
      </c>
      <c r="M114" s="147">
        <v>275</v>
      </c>
      <c r="N114" s="147">
        <v>0</v>
      </c>
      <c r="O114" s="147">
        <v>97</v>
      </c>
      <c r="P114" s="147">
        <v>2.7</v>
      </c>
      <c r="Q114" s="164">
        <v>0.14000000000000001</v>
      </c>
      <c r="R114" s="147">
        <v>1</v>
      </c>
      <c r="S114" s="146"/>
      <c r="Z114" s="222"/>
      <c r="AA114" s="222"/>
      <c r="AB114" s="222"/>
      <c r="AC114" s="222"/>
      <c r="AD114" s="222"/>
      <c r="AE114" s="222"/>
      <c r="AF114" s="222"/>
      <c r="AG114" s="222" t="s">
        <v>410</v>
      </c>
      <c r="AH114" s="222" t="s">
        <v>410</v>
      </c>
      <c r="AI114" s="222"/>
      <c r="AJ114" s="222"/>
      <c r="AK114" s="222" t="s">
        <v>410</v>
      </c>
      <c r="AL114" s="222"/>
      <c r="AM114" s="222"/>
      <c r="AN114" s="222"/>
      <c r="AO114" s="222"/>
      <c r="AP114" s="222"/>
      <c r="AQ114" s="222"/>
      <c r="AR114" s="222"/>
      <c r="AS114" s="222"/>
      <c r="AT114" s="222"/>
      <c r="AU114" s="222"/>
      <c r="AV114" s="232">
        <f t="shared" si="11"/>
        <v>6856.76</v>
      </c>
      <c r="AW114" s="233">
        <f t="shared" si="12"/>
        <v>0.31291403119666311</v>
      </c>
    </row>
    <row r="115" spans="1:49" ht="14.25" x14ac:dyDescent="0.2">
      <c r="A115" s="144" t="s">
        <v>218</v>
      </c>
      <c r="B115" s="145">
        <v>0</v>
      </c>
      <c r="C115" s="144" t="s">
        <v>105</v>
      </c>
      <c r="D115" s="144" t="s">
        <v>126</v>
      </c>
      <c r="E115" s="145">
        <v>0</v>
      </c>
      <c r="F115" s="129">
        <f t="shared" si="13"/>
        <v>0</v>
      </c>
      <c r="G115" s="144" t="s">
        <v>99</v>
      </c>
      <c r="H115" s="170">
        <f t="shared" si="14"/>
        <v>0</v>
      </c>
      <c r="I115" s="135"/>
      <c r="J115" s="146" t="s">
        <v>218</v>
      </c>
      <c r="K115" s="146" t="s">
        <v>85</v>
      </c>
      <c r="L115" s="147">
        <v>0</v>
      </c>
      <c r="M115" s="147">
        <v>0</v>
      </c>
      <c r="N115" s="147">
        <v>0</v>
      </c>
      <c r="O115" s="147">
        <v>0</v>
      </c>
      <c r="P115" s="147">
        <v>0</v>
      </c>
      <c r="Q115" s="164">
        <v>0</v>
      </c>
      <c r="R115" s="147">
        <v>0</v>
      </c>
      <c r="S115" s="146"/>
      <c r="Z115" s="222"/>
      <c r="AA115" s="222"/>
      <c r="AB115" s="222"/>
      <c r="AC115" s="222" t="s">
        <v>410</v>
      </c>
      <c r="AD115" s="222"/>
      <c r="AE115" s="222"/>
      <c r="AF115" s="222"/>
      <c r="AG115" s="222"/>
      <c r="AH115" s="222"/>
      <c r="AI115" s="222"/>
      <c r="AJ115" s="222"/>
      <c r="AK115" s="222"/>
      <c r="AL115" s="222"/>
      <c r="AM115" s="222"/>
      <c r="AN115" s="222"/>
      <c r="AO115" s="222"/>
      <c r="AP115" s="222"/>
      <c r="AQ115" s="222"/>
      <c r="AR115" s="222"/>
      <c r="AS115" s="222" t="s">
        <v>410</v>
      </c>
      <c r="AT115" s="222"/>
      <c r="AU115" s="222"/>
      <c r="AV115" s="232">
        <f t="shared" si="11"/>
        <v>0</v>
      </c>
      <c r="AW115" s="233" t="e">
        <f t="shared" si="12"/>
        <v>#DIV/0!</v>
      </c>
    </row>
    <row r="116" spans="1:49" ht="14.25" x14ac:dyDescent="0.2">
      <c r="A116" s="144" t="s">
        <v>219</v>
      </c>
      <c r="B116" s="230">
        <v>8585</v>
      </c>
      <c r="C116" s="144" t="s">
        <v>133</v>
      </c>
      <c r="D116" s="144" t="s">
        <v>213</v>
      </c>
      <c r="E116" s="145">
        <v>21912.6</v>
      </c>
      <c r="F116" s="129">
        <f t="shared" si="13"/>
        <v>21912.6</v>
      </c>
      <c r="G116" s="144" t="s">
        <v>117</v>
      </c>
      <c r="H116" s="170">
        <f t="shared" si="14"/>
        <v>0</v>
      </c>
      <c r="I116" s="135"/>
      <c r="J116" s="146" t="s">
        <v>312</v>
      </c>
      <c r="K116" s="146" t="s">
        <v>133</v>
      </c>
      <c r="L116" s="147">
        <v>0</v>
      </c>
      <c r="M116" s="147">
        <v>400</v>
      </c>
      <c r="N116" s="147">
        <v>0</v>
      </c>
      <c r="O116" s="147">
        <v>155</v>
      </c>
      <c r="P116" s="147">
        <v>1.5</v>
      </c>
      <c r="Q116" s="164">
        <v>0.27</v>
      </c>
      <c r="R116" s="147">
        <v>1.2</v>
      </c>
      <c r="S116" s="146"/>
      <c r="Z116" s="222"/>
      <c r="AA116" s="222"/>
      <c r="AB116" s="222"/>
      <c r="AC116" s="222"/>
      <c r="AD116" s="222"/>
      <c r="AE116" s="222"/>
      <c r="AF116" s="222"/>
      <c r="AG116" s="222" t="s">
        <v>410</v>
      </c>
      <c r="AH116" s="222" t="s">
        <v>410</v>
      </c>
      <c r="AI116" s="222" t="s">
        <v>410</v>
      </c>
      <c r="AJ116" s="222"/>
      <c r="AK116" s="222" t="s">
        <v>410</v>
      </c>
      <c r="AL116" s="222"/>
      <c r="AM116" s="222"/>
      <c r="AN116" s="222"/>
      <c r="AO116" s="222"/>
      <c r="AP116" s="222"/>
      <c r="AQ116" s="222"/>
      <c r="AR116" s="222"/>
      <c r="AS116" s="222"/>
      <c r="AT116" s="222"/>
      <c r="AU116" s="222"/>
      <c r="AV116" s="232">
        <f t="shared" si="11"/>
        <v>8825.3799999999992</v>
      </c>
      <c r="AW116" s="233">
        <f t="shared" si="12"/>
        <v>0.40275366684008285</v>
      </c>
    </row>
    <row r="117" spans="1:49" ht="14.25" x14ac:dyDescent="0.2">
      <c r="A117" s="144" t="s">
        <v>220</v>
      </c>
      <c r="B117" s="230">
        <v>11502</v>
      </c>
      <c r="C117" s="144" t="s">
        <v>133</v>
      </c>
      <c r="D117" s="144" t="s">
        <v>213</v>
      </c>
      <c r="E117" s="145">
        <v>21912.6</v>
      </c>
      <c r="F117" s="129">
        <f t="shared" si="13"/>
        <v>21912.6</v>
      </c>
      <c r="G117" s="144" t="s">
        <v>117</v>
      </c>
      <c r="H117" s="170">
        <f t="shared" si="14"/>
        <v>0</v>
      </c>
      <c r="I117" s="135"/>
      <c r="J117" s="146" t="s">
        <v>313</v>
      </c>
      <c r="K117" s="146" t="s">
        <v>133</v>
      </c>
      <c r="L117" s="147">
        <v>0</v>
      </c>
      <c r="M117" s="147">
        <v>566</v>
      </c>
      <c r="N117" s="147">
        <v>0</v>
      </c>
      <c r="O117" s="147">
        <v>220</v>
      </c>
      <c r="P117" s="147">
        <v>1.6</v>
      </c>
      <c r="Q117" s="164">
        <v>0.39</v>
      </c>
      <c r="R117" s="147">
        <v>1.7</v>
      </c>
      <c r="S117" s="146"/>
      <c r="Z117" s="222"/>
      <c r="AA117" s="222"/>
      <c r="AB117" s="222"/>
      <c r="AC117" s="222"/>
      <c r="AD117" s="222"/>
      <c r="AE117" s="222"/>
      <c r="AF117" s="222"/>
      <c r="AG117" s="222" t="s">
        <v>410</v>
      </c>
      <c r="AH117" s="222" t="s">
        <v>410</v>
      </c>
      <c r="AI117" s="222" t="s">
        <v>410</v>
      </c>
      <c r="AJ117" s="222"/>
      <c r="AK117" s="222" t="s">
        <v>410</v>
      </c>
      <c r="AL117" s="222"/>
      <c r="AM117" s="222"/>
      <c r="AN117" s="222"/>
      <c r="AO117" s="222"/>
      <c r="AP117" s="222"/>
      <c r="AQ117" s="222"/>
      <c r="AR117" s="222"/>
      <c r="AS117" s="222"/>
      <c r="AT117" s="222"/>
      <c r="AU117" s="222"/>
      <c r="AV117" s="232">
        <f t="shared" si="11"/>
        <v>11824.055999999999</v>
      </c>
      <c r="AW117" s="233">
        <f t="shared" si="12"/>
        <v>0.53960077763478542</v>
      </c>
    </row>
    <row r="118" spans="1:49" ht="14.25" x14ac:dyDescent="0.2">
      <c r="A118" s="144" t="s">
        <v>221</v>
      </c>
      <c r="B118" s="230">
        <v>15963</v>
      </c>
      <c r="C118" s="144" t="s">
        <v>133</v>
      </c>
      <c r="D118" s="144" t="s">
        <v>216</v>
      </c>
      <c r="E118" s="145">
        <v>30677.65</v>
      </c>
      <c r="F118" s="129">
        <f t="shared" si="13"/>
        <v>30677.650000000005</v>
      </c>
      <c r="G118" s="144" t="s">
        <v>117</v>
      </c>
      <c r="H118" s="170">
        <f t="shared" si="14"/>
        <v>0</v>
      </c>
      <c r="I118" s="135"/>
      <c r="J118" s="146" t="s">
        <v>314</v>
      </c>
      <c r="K118" s="146" t="s">
        <v>133</v>
      </c>
      <c r="L118" s="147">
        <v>0</v>
      </c>
      <c r="M118" s="147">
        <v>801</v>
      </c>
      <c r="N118" s="147">
        <v>0</v>
      </c>
      <c r="O118" s="147">
        <v>309</v>
      </c>
      <c r="P118" s="147">
        <v>1.5</v>
      </c>
      <c r="Q118" s="164">
        <v>0.55000000000000004</v>
      </c>
      <c r="R118" s="147">
        <v>2.4</v>
      </c>
      <c r="S118" s="146"/>
      <c r="Z118" s="222"/>
      <c r="AA118" s="222"/>
      <c r="AB118" s="222"/>
      <c r="AC118" s="222"/>
      <c r="AD118" s="222"/>
      <c r="AE118" s="222"/>
      <c r="AF118" s="222"/>
      <c r="AG118" s="222" t="s">
        <v>410</v>
      </c>
      <c r="AH118" s="222" t="s">
        <v>410</v>
      </c>
      <c r="AI118" s="222" t="s">
        <v>410</v>
      </c>
      <c r="AJ118" s="222"/>
      <c r="AK118" s="222" t="s">
        <v>410</v>
      </c>
      <c r="AL118" s="222"/>
      <c r="AM118" s="222"/>
      <c r="AN118" s="222"/>
      <c r="AO118" s="222"/>
      <c r="AP118" s="222"/>
      <c r="AQ118" s="222"/>
      <c r="AR118" s="222"/>
      <c r="AS118" s="222"/>
      <c r="AT118" s="222"/>
      <c r="AU118" s="222"/>
      <c r="AV118" s="232">
        <f t="shared" si="11"/>
        <v>16409.964</v>
      </c>
      <c r="AW118" s="233">
        <f t="shared" si="12"/>
        <v>0.53491594043220392</v>
      </c>
    </row>
    <row r="119" spans="1:49" ht="14.25" x14ac:dyDescent="0.2">
      <c r="A119" s="144" t="s">
        <v>222</v>
      </c>
      <c r="B119" s="230">
        <v>15963</v>
      </c>
      <c r="C119" s="144" t="s">
        <v>137</v>
      </c>
      <c r="D119" s="144" t="s">
        <v>138</v>
      </c>
      <c r="E119" s="145">
        <v>21912.6</v>
      </c>
      <c r="F119" s="129">
        <f t="shared" si="13"/>
        <v>21912.6</v>
      </c>
      <c r="G119" s="144" t="s">
        <v>117</v>
      </c>
      <c r="H119" s="170">
        <f t="shared" si="14"/>
        <v>0</v>
      </c>
      <c r="I119" s="135"/>
      <c r="J119" s="146" t="s">
        <v>315</v>
      </c>
      <c r="K119" s="146" t="s">
        <v>287</v>
      </c>
      <c r="L119" s="147">
        <v>0</v>
      </c>
      <c r="M119" s="147">
        <v>800</v>
      </c>
      <c r="N119" s="147">
        <v>0</v>
      </c>
      <c r="O119" s="147">
        <v>310</v>
      </c>
      <c r="P119" s="147">
        <v>1.5</v>
      </c>
      <c r="Q119" s="164">
        <v>0.55000000000000004</v>
      </c>
      <c r="R119" s="147">
        <v>2.4</v>
      </c>
      <c r="S119" s="146"/>
      <c r="Z119" s="222"/>
      <c r="AA119" s="222"/>
      <c r="AB119" s="222"/>
      <c r="AC119" s="222"/>
      <c r="AD119" s="222"/>
      <c r="AE119" s="222"/>
      <c r="AF119" s="222"/>
      <c r="AG119" s="222" t="s">
        <v>410</v>
      </c>
      <c r="AH119" s="222" t="s">
        <v>410</v>
      </c>
      <c r="AI119" s="222" t="s">
        <v>410</v>
      </c>
      <c r="AJ119" s="222"/>
      <c r="AK119" s="222" t="s">
        <v>410</v>
      </c>
      <c r="AL119" s="222"/>
      <c r="AM119" s="222"/>
      <c r="AN119" s="222"/>
      <c r="AO119" s="222"/>
      <c r="AP119" s="222"/>
      <c r="AQ119" s="222"/>
      <c r="AR119" s="222"/>
      <c r="AS119" s="222"/>
      <c r="AT119" s="222"/>
      <c r="AU119" s="222"/>
      <c r="AV119" s="232">
        <f t="shared" si="11"/>
        <v>16409.964</v>
      </c>
      <c r="AW119" s="233">
        <f t="shared" si="12"/>
        <v>0.7488825607184908</v>
      </c>
    </row>
    <row r="120" spans="1:49" ht="14.25" x14ac:dyDescent="0.2">
      <c r="A120" s="144" t="s">
        <v>223</v>
      </c>
      <c r="B120" s="145" t="s">
        <v>85</v>
      </c>
      <c r="C120" s="144" t="s">
        <v>137</v>
      </c>
      <c r="D120" s="144" t="s">
        <v>138</v>
      </c>
      <c r="E120" s="145">
        <v>21912.6</v>
      </c>
      <c r="F120" s="129">
        <f t="shared" si="13"/>
        <v>21912.6</v>
      </c>
      <c r="G120" s="144" t="s">
        <v>117</v>
      </c>
      <c r="H120" s="170">
        <f t="shared" si="14"/>
        <v>0</v>
      </c>
      <c r="I120" s="135"/>
      <c r="J120" s="146" t="s">
        <v>316</v>
      </c>
      <c r="K120" s="146" t="s">
        <v>287</v>
      </c>
      <c r="L120" s="147">
        <v>0</v>
      </c>
      <c r="M120" s="147">
        <v>0</v>
      </c>
      <c r="N120" s="147">
        <v>0</v>
      </c>
      <c r="O120" s="147">
        <v>0</v>
      </c>
      <c r="P120" s="147">
        <v>0</v>
      </c>
      <c r="Q120" s="164">
        <v>0</v>
      </c>
      <c r="R120" s="147">
        <v>0</v>
      </c>
      <c r="S120" s="146"/>
      <c r="Z120" s="222"/>
      <c r="AA120" s="222"/>
      <c r="AB120" s="222"/>
      <c r="AC120" s="222"/>
      <c r="AD120" s="222"/>
      <c r="AE120" s="222"/>
      <c r="AF120" s="222"/>
      <c r="AG120" s="222" t="s">
        <v>410</v>
      </c>
      <c r="AH120" s="222" t="s">
        <v>410</v>
      </c>
      <c r="AI120" s="222" t="s">
        <v>410</v>
      </c>
      <c r="AJ120" s="222"/>
      <c r="AK120" s="222" t="s">
        <v>410</v>
      </c>
      <c r="AL120" s="222"/>
      <c r="AM120" s="222"/>
      <c r="AN120" s="222"/>
      <c r="AO120" s="222"/>
      <c r="AP120" s="222"/>
      <c r="AQ120" s="222"/>
      <c r="AR120" s="222"/>
      <c r="AS120" s="222"/>
      <c r="AT120" s="222"/>
      <c r="AU120" s="222"/>
      <c r="AV120" s="232" t="e">
        <f t="shared" si="11"/>
        <v>#VALUE!</v>
      </c>
      <c r="AW120" s="233" t="e">
        <f t="shared" si="12"/>
        <v>#VALUE!</v>
      </c>
    </row>
    <row r="121" spans="1:49" ht="14.25" x14ac:dyDescent="0.2">
      <c r="A121" s="144" t="s">
        <v>224</v>
      </c>
      <c r="B121" s="145" t="s">
        <v>85</v>
      </c>
      <c r="C121" s="144" t="s">
        <v>283</v>
      </c>
      <c r="D121" s="144" t="s">
        <v>184</v>
      </c>
      <c r="E121" s="145">
        <v>54.8</v>
      </c>
      <c r="F121" s="129">
        <f t="shared" si="13"/>
        <v>54.8</v>
      </c>
      <c r="G121" s="144" t="s">
        <v>99</v>
      </c>
      <c r="H121" s="170">
        <f t="shared" si="14"/>
        <v>0</v>
      </c>
      <c r="I121" s="135"/>
      <c r="J121" s="146" t="s">
        <v>224</v>
      </c>
      <c r="K121" s="146" t="s">
        <v>85</v>
      </c>
      <c r="L121" s="147">
        <v>0</v>
      </c>
      <c r="M121" s="147">
        <v>0</v>
      </c>
      <c r="N121" s="147">
        <v>0</v>
      </c>
      <c r="O121" s="147">
        <v>0</v>
      </c>
      <c r="P121" s="147">
        <v>0</v>
      </c>
      <c r="Q121" s="164">
        <v>0</v>
      </c>
      <c r="R121" s="147">
        <v>0</v>
      </c>
      <c r="S121" s="146"/>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t="s">
        <v>410</v>
      </c>
      <c r="AT121" s="222"/>
      <c r="AU121" s="222"/>
      <c r="AV121" s="232" t="e">
        <f t="shared" si="11"/>
        <v>#VALUE!</v>
      </c>
      <c r="AW121" s="233" t="e">
        <f t="shared" si="12"/>
        <v>#VALUE!</v>
      </c>
    </row>
    <row r="122" spans="1:49" ht="14.25" x14ac:dyDescent="0.2">
      <c r="A122" s="144" t="s">
        <v>225</v>
      </c>
      <c r="B122" s="145" t="s">
        <v>85</v>
      </c>
      <c r="C122" s="144"/>
      <c r="D122" s="144" t="s">
        <v>99</v>
      </c>
      <c r="E122" s="145" t="s">
        <v>85</v>
      </c>
      <c r="F122" s="129" t="str">
        <f t="shared" si="13"/>
        <v>FPA</v>
      </c>
      <c r="G122" s="144" t="s">
        <v>117</v>
      </c>
      <c r="H122" s="170">
        <f t="shared" si="14"/>
        <v>0</v>
      </c>
      <c r="I122" s="135"/>
      <c r="J122" s="146" t="s">
        <v>225</v>
      </c>
      <c r="K122" s="146" t="s">
        <v>287</v>
      </c>
      <c r="L122" s="147">
        <v>0</v>
      </c>
      <c r="M122" s="147">
        <v>225</v>
      </c>
      <c r="N122" s="147">
        <v>0</v>
      </c>
      <c r="O122" s="147">
        <v>184</v>
      </c>
      <c r="P122" s="147">
        <v>0</v>
      </c>
      <c r="Q122" s="164">
        <v>0</v>
      </c>
      <c r="R122" s="147">
        <v>0</v>
      </c>
      <c r="S122" s="146"/>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32" t="e">
        <f t="shared" si="11"/>
        <v>#VALUE!</v>
      </c>
      <c r="AW122" s="233" t="e">
        <f t="shared" si="12"/>
        <v>#VALUE!</v>
      </c>
    </row>
    <row r="123" spans="1:49" ht="14.25" x14ac:dyDescent="0.2">
      <c r="A123" s="144" t="s">
        <v>226</v>
      </c>
      <c r="B123" s="145" t="s">
        <v>85</v>
      </c>
      <c r="C123" s="144"/>
      <c r="D123" s="144" t="s">
        <v>99</v>
      </c>
      <c r="E123" s="145" t="s">
        <v>85</v>
      </c>
      <c r="F123" s="129" t="str">
        <f t="shared" si="13"/>
        <v>FPA</v>
      </c>
      <c r="G123" s="144" t="s">
        <v>117</v>
      </c>
      <c r="H123" s="170">
        <f t="shared" si="14"/>
        <v>0</v>
      </c>
      <c r="I123" s="135"/>
      <c r="J123" s="146" t="s">
        <v>226</v>
      </c>
      <c r="K123" s="146" t="s">
        <v>309</v>
      </c>
      <c r="L123" s="147">
        <v>0</v>
      </c>
      <c r="M123" s="147">
        <v>752</v>
      </c>
      <c r="N123" s="147">
        <v>0</v>
      </c>
      <c r="O123" s="147">
        <v>262</v>
      </c>
      <c r="P123" s="147">
        <v>0</v>
      </c>
      <c r="Q123" s="164">
        <v>0</v>
      </c>
      <c r="R123" s="147">
        <v>0</v>
      </c>
      <c r="S123" s="146"/>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32" t="e">
        <f t="shared" si="11"/>
        <v>#VALUE!</v>
      </c>
      <c r="AW123" s="233" t="e">
        <f t="shared" si="12"/>
        <v>#VALUE!</v>
      </c>
    </row>
    <row r="124" spans="1:49" ht="14.25" x14ac:dyDescent="0.2">
      <c r="A124" s="144" t="s">
        <v>227</v>
      </c>
      <c r="B124" s="145">
        <v>151.55000000000001</v>
      </c>
      <c r="C124" s="144" t="s">
        <v>283</v>
      </c>
      <c r="D124" s="144" t="s">
        <v>196</v>
      </c>
      <c r="E124" s="145">
        <v>153.4</v>
      </c>
      <c r="F124" s="129">
        <f t="shared" si="13"/>
        <v>153.4</v>
      </c>
      <c r="G124" s="144" t="s">
        <v>99</v>
      </c>
      <c r="H124" s="170">
        <f t="shared" si="14"/>
        <v>0</v>
      </c>
      <c r="I124" s="135"/>
      <c r="J124" s="146" t="s">
        <v>227</v>
      </c>
      <c r="K124" s="146" t="s">
        <v>283</v>
      </c>
      <c r="L124" s="147">
        <v>0</v>
      </c>
      <c r="M124" s="147">
        <f>245/100</f>
        <v>2.4500000000000002</v>
      </c>
      <c r="N124" s="147">
        <v>0</v>
      </c>
      <c r="O124" s="147">
        <f>191/100</f>
        <v>1.91</v>
      </c>
      <c r="P124" s="147">
        <f>25/100</f>
        <v>0.25</v>
      </c>
      <c r="Q124" s="164">
        <f>0.34/100</f>
        <v>3.4000000000000002E-3</v>
      </c>
      <c r="R124" s="147">
        <v>0</v>
      </c>
      <c r="S124" s="146" t="s">
        <v>337</v>
      </c>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32">
        <f t="shared" si="11"/>
        <v>155.79339999999999</v>
      </c>
      <c r="AW124" s="233">
        <f t="shared" si="12"/>
        <v>1.0156023468057365</v>
      </c>
    </row>
    <row r="125" spans="1:49" ht="14.25" x14ac:dyDescent="0.2">
      <c r="A125" s="144" t="s">
        <v>228</v>
      </c>
      <c r="B125" s="145">
        <v>106.72</v>
      </c>
      <c r="C125" s="144" t="s">
        <v>283</v>
      </c>
      <c r="D125" s="144" t="s">
        <v>98</v>
      </c>
      <c r="E125" s="145">
        <v>197.2</v>
      </c>
      <c r="F125" s="129">
        <f t="shared" si="13"/>
        <v>197.2</v>
      </c>
      <c r="G125" s="144" t="s">
        <v>99</v>
      </c>
      <c r="H125" s="170">
        <f t="shared" si="14"/>
        <v>0</v>
      </c>
      <c r="I125" s="135"/>
      <c r="J125" s="146" t="s">
        <v>228</v>
      </c>
      <c r="K125" s="146" t="s">
        <v>283</v>
      </c>
      <c r="L125" s="147">
        <v>0</v>
      </c>
      <c r="M125" s="147">
        <v>0.74</v>
      </c>
      <c r="N125" s="147">
        <v>0</v>
      </c>
      <c r="O125" s="147">
        <v>0.57999999999999996</v>
      </c>
      <c r="P125" s="147">
        <v>0.2</v>
      </c>
      <c r="Q125" s="164">
        <v>2.7000000000000001E-3</v>
      </c>
      <c r="R125" s="147">
        <v>0</v>
      </c>
      <c r="S125" s="146"/>
      <c r="Z125" s="222"/>
      <c r="AA125" s="222"/>
      <c r="AB125" s="222"/>
      <c r="AC125" s="222"/>
      <c r="AD125" s="222"/>
      <c r="AE125" s="222"/>
      <c r="AF125" s="222"/>
      <c r="AG125" s="222"/>
      <c r="AH125" s="222"/>
      <c r="AI125" s="222"/>
      <c r="AJ125" s="222"/>
      <c r="AK125" s="222"/>
      <c r="AL125" s="222"/>
      <c r="AM125" s="222"/>
      <c r="AN125" s="222"/>
      <c r="AO125" s="222"/>
      <c r="AP125" s="222" t="s">
        <v>410</v>
      </c>
      <c r="AQ125" s="222"/>
      <c r="AR125" s="222"/>
      <c r="AS125" s="222"/>
      <c r="AT125" s="222"/>
      <c r="AU125" s="222"/>
      <c r="AV125" s="232">
        <f t="shared" si="11"/>
        <v>109.70815999999999</v>
      </c>
      <c r="AW125" s="233">
        <f t="shared" si="12"/>
        <v>0.55632941176470585</v>
      </c>
    </row>
    <row r="126" spans="1:49" ht="14.25" x14ac:dyDescent="0.2">
      <c r="A126" s="144" t="s">
        <v>449</v>
      </c>
      <c r="B126" s="145">
        <v>194.87</v>
      </c>
      <c r="C126" s="144" t="s">
        <v>283</v>
      </c>
      <c r="D126" s="144" t="s">
        <v>98</v>
      </c>
      <c r="E126" s="145">
        <v>197.2</v>
      </c>
      <c r="F126" s="129">
        <f t="shared" si="13"/>
        <v>197.2</v>
      </c>
      <c r="G126" s="144" t="s">
        <v>99</v>
      </c>
      <c r="H126" s="170">
        <f t="shared" si="14"/>
        <v>0</v>
      </c>
      <c r="I126" s="135"/>
      <c r="J126" s="146" t="s">
        <v>317</v>
      </c>
      <c r="K126" s="146" t="s">
        <v>283</v>
      </c>
      <c r="L126" s="147">
        <v>0</v>
      </c>
      <c r="M126" s="147">
        <v>4.72</v>
      </c>
      <c r="N126" s="147">
        <v>0</v>
      </c>
      <c r="O126" s="147">
        <v>2.36</v>
      </c>
      <c r="P126" s="147">
        <v>6.5</v>
      </c>
      <c r="Q126" s="164">
        <v>1.1000000000000001E-3</v>
      </c>
      <c r="R126" s="147">
        <v>0</v>
      </c>
      <c r="S126" s="146"/>
      <c r="Z126" s="222"/>
      <c r="AA126" s="222"/>
      <c r="AB126" s="222"/>
      <c r="AC126" s="222"/>
      <c r="AD126" s="222"/>
      <c r="AE126" s="222"/>
      <c r="AF126" s="222"/>
      <c r="AG126" s="222" t="s">
        <v>410</v>
      </c>
      <c r="AH126" s="222" t="s">
        <v>410</v>
      </c>
      <c r="AI126" s="222"/>
      <c r="AJ126" s="222"/>
      <c r="AK126" s="222"/>
      <c r="AL126" s="222"/>
      <c r="AM126" s="222"/>
      <c r="AN126" s="222"/>
      <c r="AO126" s="222"/>
      <c r="AP126" s="222"/>
      <c r="AQ126" s="222"/>
      <c r="AR126" s="222"/>
      <c r="AS126" s="222"/>
      <c r="AT126" s="222"/>
      <c r="AU126" s="222"/>
      <c r="AV126" s="232">
        <f t="shared" si="11"/>
        <v>200.32635999999999</v>
      </c>
      <c r="AW126" s="233">
        <f t="shared" si="12"/>
        <v>1.0158537525354969</v>
      </c>
    </row>
    <row r="127" spans="1:49" ht="14.25" x14ac:dyDescent="0.2">
      <c r="A127" s="144" t="s">
        <v>229</v>
      </c>
      <c r="B127" s="145">
        <v>0</v>
      </c>
      <c r="C127" s="144" t="s">
        <v>105</v>
      </c>
      <c r="D127" s="144" t="s">
        <v>98</v>
      </c>
      <c r="E127" s="145">
        <v>197.2</v>
      </c>
      <c r="F127" s="129">
        <f t="shared" si="13"/>
        <v>197.2</v>
      </c>
      <c r="G127" s="144" t="s">
        <v>99</v>
      </c>
      <c r="H127" s="170">
        <f t="shared" si="14"/>
        <v>0</v>
      </c>
      <c r="I127" s="135"/>
      <c r="J127" s="146" t="s">
        <v>317</v>
      </c>
      <c r="K127" s="146" t="s">
        <v>283</v>
      </c>
      <c r="L127" s="147">
        <v>0</v>
      </c>
      <c r="M127" s="147">
        <v>0</v>
      </c>
      <c r="N127" s="147">
        <v>0</v>
      </c>
      <c r="O127" s="147">
        <v>0</v>
      </c>
      <c r="P127" s="147">
        <v>0</v>
      </c>
      <c r="Q127" s="164">
        <v>0</v>
      </c>
      <c r="R127" s="147">
        <v>0</v>
      </c>
      <c r="S127" s="146"/>
      <c r="Z127" s="222"/>
      <c r="AA127" s="222"/>
      <c r="AB127" s="222"/>
      <c r="AC127" s="222"/>
      <c r="AD127" s="222"/>
      <c r="AE127" s="222"/>
      <c r="AF127" s="222"/>
      <c r="AG127" s="222" t="s">
        <v>410</v>
      </c>
      <c r="AH127" s="222" t="s">
        <v>410</v>
      </c>
      <c r="AI127" s="222"/>
      <c r="AJ127" s="222"/>
      <c r="AK127" s="222"/>
      <c r="AL127" s="222"/>
      <c r="AM127" s="222"/>
      <c r="AN127" s="222"/>
      <c r="AO127" s="222"/>
      <c r="AP127" s="222"/>
      <c r="AQ127" s="222"/>
      <c r="AR127" s="222"/>
      <c r="AS127" s="222"/>
      <c r="AT127" s="222"/>
      <c r="AU127" s="222"/>
      <c r="AV127" s="232">
        <f t="shared" si="11"/>
        <v>0</v>
      </c>
      <c r="AW127" s="233">
        <f t="shared" si="12"/>
        <v>0</v>
      </c>
    </row>
    <row r="128" spans="1:49" ht="14.25" x14ac:dyDescent="0.2">
      <c r="A128" s="144" t="s">
        <v>230</v>
      </c>
      <c r="B128" s="145">
        <v>52.79</v>
      </c>
      <c r="C128" s="144" t="s">
        <v>283</v>
      </c>
      <c r="D128" s="144" t="s">
        <v>98</v>
      </c>
      <c r="E128" s="145">
        <v>197.2</v>
      </c>
      <c r="F128" s="129">
        <f t="shared" si="13"/>
        <v>197.2</v>
      </c>
      <c r="G128" s="144" t="s">
        <v>99</v>
      </c>
      <c r="H128" s="170">
        <f t="shared" si="14"/>
        <v>0</v>
      </c>
      <c r="I128" s="135"/>
      <c r="J128" s="146" t="s">
        <v>318</v>
      </c>
      <c r="K128" s="146" t="s">
        <v>283</v>
      </c>
      <c r="L128" s="147">
        <v>0</v>
      </c>
      <c r="M128" s="147">
        <v>0.97</v>
      </c>
      <c r="N128" s="147">
        <v>0</v>
      </c>
      <c r="O128" s="147">
        <v>0.97</v>
      </c>
      <c r="P128" s="147">
        <v>6.5</v>
      </c>
      <c r="Q128" s="164">
        <v>1.1000000000000001E-3</v>
      </c>
      <c r="R128" s="147">
        <v>0</v>
      </c>
      <c r="S128" s="146"/>
      <c r="Z128" s="222"/>
      <c r="AA128" s="222"/>
      <c r="AB128" s="222"/>
      <c r="AC128" s="222"/>
      <c r="AD128" s="222"/>
      <c r="AE128" s="222"/>
      <c r="AF128" s="222"/>
      <c r="AG128" s="222" t="s">
        <v>410</v>
      </c>
      <c r="AH128" s="222" t="s">
        <v>410</v>
      </c>
      <c r="AI128" s="222"/>
      <c r="AJ128" s="222"/>
      <c r="AK128" s="222"/>
      <c r="AL128" s="222"/>
      <c r="AM128" s="222"/>
      <c r="AN128" s="222"/>
      <c r="AO128" s="222"/>
      <c r="AP128" s="222"/>
      <c r="AQ128" s="222"/>
      <c r="AR128" s="222"/>
      <c r="AS128" s="222"/>
      <c r="AT128" s="222"/>
      <c r="AU128" s="222"/>
      <c r="AV128" s="232">
        <f t="shared" si="11"/>
        <v>54.268119999999996</v>
      </c>
      <c r="AW128" s="233">
        <f t="shared" si="12"/>
        <v>0.27519330628803246</v>
      </c>
    </row>
    <row r="129" spans="1:49" ht="14.25" x14ac:dyDescent="0.2">
      <c r="A129" s="144" t="s">
        <v>231</v>
      </c>
      <c r="B129" s="145">
        <v>194.87</v>
      </c>
      <c r="C129" s="144" t="s">
        <v>283</v>
      </c>
      <c r="D129" s="144" t="s">
        <v>98</v>
      </c>
      <c r="E129" s="145">
        <v>197.2</v>
      </c>
      <c r="F129" s="129">
        <f t="shared" si="13"/>
        <v>197.2</v>
      </c>
      <c r="G129" s="144" t="s">
        <v>99</v>
      </c>
      <c r="H129" s="170">
        <f t="shared" si="14"/>
        <v>0</v>
      </c>
      <c r="I129" s="135"/>
      <c r="J129" s="146" t="s">
        <v>231</v>
      </c>
      <c r="K129" s="146" t="s">
        <v>283</v>
      </c>
      <c r="L129" s="147">
        <v>0</v>
      </c>
      <c r="M129" s="147">
        <v>0.98</v>
      </c>
      <c r="N129" s="147">
        <v>0</v>
      </c>
      <c r="O129" s="147">
        <v>0.61</v>
      </c>
      <c r="P129" s="147">
        <v>0.62</v>
      </c>
      <c r="Q129" s="164">
        <v>2.2000000000000001E-3</v>
      </c>
      <c r="R129" s="147">
        <v>0</v>
      </c>
      <c r="S129" s="146"/>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32">
        <f t="shared" si="11"/>
        <v>200.32635999999999</v>
      </c>
      <c r="AW129" s="233">
        <f t="shared" si="12"/>
        <v>1.0158537525354969</v>
      </c>
    </row>
    <row r="130" spans="1:49" ht="14.25" x14ac:dyDescent="0.2">
      <c r="A130" s="144" t="s">
        <v>320</v>
      </c>
      <c r="B130" s="145">
        <v>194.87</v>
      </c>
      <c r="C130" s="144" t="s">
        <v>283</v>
      </c>
      <c r="D130" s="144" t="s">
        <v>98</v>
      </c>
      <c r="E130" s="145">
        <v>197.2</v>
      </c>
      <c r="F130" s="129">
        <f t="shared" si="13"/>
        <v>197.2</v>
      </c>
      <c r="G130" s="144" t="s">
        <v>99</v>
      </c>
      <c r="H130" s="170">
        <f t="shared" si="14"/>
        <v>0</v>
      </c>
      <c r="I130" s="135"/>
      <c r="J130" s="146" t="s">
        <v>320</v>
      </c>
      <c r="K130" s="146" t="s">
        <v>283</v>
      </c>
      <c r="L130" s="147">
        <v>0</v>
      </c>
      <c r="M130" s="147">
        <v>4.5</v>
      </c>
      <c r="N130" s="147">
        <v>0</v>
      </c>
      <c r="O130" s="147">
        <v>3.52</v>
      </c>
      <c r="P130" s="147">
        <v>1.0683398127971904</v>
      </c>
      <c r="Q130" s="164">
        <v>3.3E-3</v>
      </c>
      <c r="R130" s="147">
        <v>0</v>
      </c>
      <c r="S130" s="146"/>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32">
        <f t="shared" si="11"/>
        <v>200.32635999999999</v>
      </c>
      <c r="AW130" s="233">
        <f t="shared" si="12"/>
        <v>1.0158537525354969</v>
      </c>
    </row>
    <row r="131" spans="1:49" ht="14.25" x14ac:dyDescent="0.2">
      <c r="A131" s="144" t="s">
        <v>321</v>
      </c>
      <c r="B131" s="145">
        <v>194.87</v>
      </c>
      <c r="C131" s="144" t="s">
        <v>283</v>
      </c>
      <c r="D131" s="144" t="s">
        <v>98</v>
      </c>
      <c r="E131" s="145">
        <v>197.2</v>
      </c>
      <c r="F131" s="129">
        <f t="shared" si="13"/>
        <v>197.2</v>
      </c>
      <c r="G131" s="144" t="s">
        <v>99</v>
      </c>
      <c r="H131" s="170">
        <f t="shared" si="14"/>
        <v>0</v>
      </c>
      <c r="I131" s="135"/>
      <c r="J131" s="146" t="s">
        <v>321</v>
      </c>
      <c r="K131" s="146" t="s">
        <v>283</v>
      </c>
      <c r="L131" s="147">
        <v>0</v>
      </c>
      <c r="M131" s="147">
        <v>4.5</v>
      </c>
      <c r="N131" s="147">
        <v>0</v>
      </c>
      <c r="O131" s="147">
        <v>3.52</v>
      </c>
      <c r="P131" s="147">
        <v>0.69527242057891603</v>
      </c>
      <c r="Q131" s="164">
        <v>4.4000000000000003E-3</v>
      </c>
      <c r="R131" s="147">
        <v>0</v>
      </c>
      <c r="S131" s="146"/>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32">
        <f t="shared" si="11"/>
        <v>200.32635999999999</v>
      </c>
      <c r="AW131" s="233">
        <f t="shared" si="12"/>
        <v>1.0158537525354969</v>
      </c>
    </row>
    <row r="132" spans="1:49" ht="14.25" x14ac:dyDescent="0.2">
      <c r="A132" s="144" t="s">
        <v>322</v>
      </c>
      <c r="B132" s="145">
        <v>194.87</v>
      </c>
      <c r="C132" s="144" t="s">
        <v>283</v>
      </c>
      <c r="D132" s="144" t="s">
        <v>98</v>
      </c>
      <c r="E132" s="145">
        <v>197.2</v>
      </c>
      <c r="F132" s="129">
        <f t="shared" si="13"/>
        <v>197.2</v>
      </c>
      <c r="G132" s="144" t="s">
        <v>99</v>
      </c>
      <c r="H132" s="170">
        <f t="shared" si="14"/>
        <v>0</v>
      </c>
      <c r="I132" s="135"/>
      <c r="J132" s="146" t="s">
        <v>322</v>
      </c>
      <c r="K132" s="146" t="s">
        <v>283</v>
      </c>
      <c r="L132" s="147">
        <v>0</v>
      </c>
      <c r="M132" s="147">
        <v>4.5</v>
      </c>
      <c r="N132" s="147">
        <v>0</v>
      </c>
      <c r="O132" s="147">
        <v>3.52</v>
      </c>
      <c r="P132" s="147">
        <v>0.56939302323201335</v>
      </c>
      <c r="Q132" s="164">
        <v>4.4000000000000003E-3</v>
      </c>
      <c r="R132" s="147">
        <v>0</v>
      </c>
      <c r="S132" s="146"/>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32">
        <f t="shared" si="11"/>
        <v>200.32635999999999</v>
      </c>
      <c r="AW132" s="233">
        <f t="shared" si="12"/>
        <v>1.0158537525354969</v>
      </c>
    </row>
    <row r="133" spans="1:49" ht="14.25" x14ac:dyDescent="0.2">
      <c r="A133" s="144" t="s">
        <v>323</v>
      </c>
      <c r="B133" s="145">
        <v>194.87</v>
      </c>
      <c r="C133" s="144" t="s">
        <v>283</v>
      </c>
      <c r="D133" s="144" t="s">
        <v>98</v>
      </c>
      <c r="E133" s="145">
        <v>197.2</v>
      </c>
      <c r="F133" s="129">
        <f t="shared" si="13"/>
        <v>197.2</v>
      </c>
      <c r="G133" s="144" t="s">
        <v>99</v>
      </c>
      <c r="H133" s="170">
        <f t="shared" si="14"/>
        <v>0</v>
      </c>
      <c r="I133" s="135"/>
      <c r="J133" s="146" t="s">
        <v>323</v>
      </c>
      <c r="K133" s="146" t="s">
        <v>283</v>
      </c>
      <c r="L133" s="147">
        <v>0</v>
      </c>
      <c r="M133" s="147">
        <v>4.5</v>
      </c>
      <c r="N133" s="147">
        <v>0</v>
      </c>
      <c r="O133" s="147">
        <v>3.52</v>
      </c>
      <c r="P133" s="147">
        <v>0.4992017274113032</v>
      </c>
      <c r="Q133" s="164">
        <v>4.4000000000000003E-3</v>
      </c>
      <c r="R133" s="147">
        <v>0</v>
      </c>
      <c r="S133" s="146"/>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32">
        <f t="shared" si="11"/>
        <v>200.32635999999999</v>
      </c>
      <c r="AW133" s="233">
        <f t="shared" si="12"/>
        <v>1.0158537525354969</v>
      </c>
    </row>
    <row r="134" spans="1:49" ht="14.25" x14ac:dyDescent="0.2">
      <c r="A134" s="144" t="s">
        <v>324</v>
      </c>
      <c r="B134" s="145">
        <v>194.87</v>
      </c>
      <c r="C134" s="144" t="s">
        <v>283</v>
      </c>
      <c r="D134" s="144" t="s">
        <v>98</v>
      </c>
      <c r="E134" s="145">
        <v>197.2</v>
      </c>
      <c r="F134" s="129">
        <f t="shared" si="13"/>
        <v>197.2</v>
      </c>
      <c r="G134" s="144" t="s">
        <v>99</v>
      </c>
      <c r="H134" s="170">
        <f t="shared" si="14"/>
        <v>0</v>
      </c>
      <c r="I134" s="135"/>
      <c r="J134" s="146" t="s">
        <v>324</v>
      </c>
      <c r="K134" s="146" t="s">
        <v>283</v>
      </c>
      <c r="L134" s="147">
        <v>0</v>
      </c>
      <c r="M134" s="147">
        <v>4.5</v>
      </c>
      <c r="N134" s="147">
        <v>0</v>
      </c>
      <c r="O134" s="147">
        <v>3.52</v>
      </c>
      <c r="P134" s="147">
        <v>0.45248125458508298</v>
      </c>
      <c r="Q134" s="164">
        <v>4.4000000000000003E-3</v>
      </c>
      <c r="R134" s="147">
        <v>0</v>
      </c>
      <c r="S134" s="146"/>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32">
        <f t="shared" si="11"/>
        <v>200.32635999999999</v>
      </c>
      <c r="AW134" s="233">
        <f t="shared" si="12"/>
        <v>1.0158537525354969</v>
      </c>
    </row>
    <row r="135" spans="1:49" ht="14.25" x14ac:dyDescent="0.2">
      <c r="A135" s="144" t="s">
        <v>378</v>
      </c>
      <c r="B135" s="145">
        <v>194.87</v>
      </c>
      <c r="C135" s="144" t="s">
        <v>283</v>
      </c>
      <c r="D135" s="144" t="s">
        <v>98</v>
      </c>
      <c r="E135" s="145">
        <v>197.2</v>
      </c>
      <c r="F135" s="129">
        <f t="shared" si="13"/>
        <v>197.2</v>
      </c>
      <c r="G135" s="144" t="s">
        <v>99</v>
      </c>
      <c r="H135" s="170">
        <f t="shared" si="14"/>
        <v>0</v>
      </c>
      <c r="I135" s="135"/>
      <c r="J135" s="146" t="s">
        <v>319</v>
      </c>
      <c r="K135" s="146" t="s">
        <v>283</v>
      </c>
      <c r="L135" s="147">
        <v>0</v>
      </c>
      <c r="M135" s="147">
        <v>4.5</v>
      </c>
      <c r="N135" s="147">
        <v>0</v>
      </c>
      <c r="O135" s="147">
        <v>3.52</v>
      </c>
      <c r="P135" s="147">
        <v>0.43421959019303036</v>
      </c>
      <c r="Q135" s="164">
        <v>4.4000000000000003E-3</v>
      </c>
      <c r="R135" s="147">
        <v>0</v>
      </c>
      <c r="S135" s="146"/>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32">
        <f t="shared" si="11"/>
        <v>200.32635999999999</v>
      </c>
      <c r="AW135" s="233">
        <f t="shared" si="12"/>
        <v>1.0158537525354969</v>
      </c>
    </row>
    <row r="136" spans="1:49" ht="14.25" x14ac:dyDescent="0.2">
      <c r="A136" s="144" t="s">
        <v>232</v>
      </c>
      <c r="B136" s="230">
        <v>5426</v>
      </c>
      <c r="C136" s="144" t="s">
        <v>133</v>
      </c>
      <c r="D136" s="144" t="s">
        <v>169</v>
      </c>
      <c r="E136" s="145">
        <v>10956.25</v>
      </c>
      <c r="F136" s="129">
        <f t="shared" si="13"/>
        <v>10956.25</v>
      </c>
      <c r="G136" s="144" t="s">
        <v>117</v>
      </c>
      <c r="H136" s="170">
        <f t="shared" si="14"/>
        <v>0</v>
      </c>
      <c r="I136" s="135"/>
      <c r="J136" s="146" t="s">
        <v>327</v>
      </c>
      <c r="K136" s="146" t="s">
        <v>309</v>
      </c>
      <c r="L136" s="147">
        <v>0</v>
      </c>
      <c r="M136" s="147">
        <v>335</v>
      </c>
      <c r="N136" s="147">
        <v>0</v>
      </c>
      <c r="O136" s="147">
        <v>118</v>
      </c>
      <c r="P136" s="147">
        <v>3</v>
      </c>
      <c r="Q136" s="164">
        <v>0.2</v>
      </c>
      <c r="R136" s="147">
        <v>0</v>
      </c>
      <c r="S136" s="146"/>
      <c r="Z136" s="222"/>
      <c r="AA136" s="222"/>
      <c r="AB136" s="222"/>
      <c r="AC136" s="222"/>
      <c r="AD136" s="222"/>
      <c r="AE136" s="222"/>
      <c r="AF136" s="222" t="s">
        <v>410</v>
      </c>
      <c r="AG136" s="222" t="s">
        <v>410</v>
      </c>
      <c r="AH136" s="222" t="s">
        <v>410</v>
      </c>
      <c r="AI136" s="222"/>
      <c r="AJ136" s="222"/>
      <c r="AK136" s="222" t="s">
        <v>410</v>
      </c>
      <c r="AL136" s="222"/>
      <c r="AM136" s="222"/>
      <c r="AN136" s="222"/>
      <c r="AO136" s="222"/>
      <c r="AP136" s="222"/>
      <c r="AQ136" s="222"/>
      <c r="AR136" s="222"/>
      <c r="AS136" s="222"/>
      <c r="AT136" s="222"/>
      <c r="AU136" s="222"/>
      <c r="AV136" s="232">
        <f t="shared" si="11"/>
        <v>5577.927999999999</v>
      </c>
      <c r="AW136" s="233">
        <f t="shared" si="12"/>
        <v>0.50910922989161433</v>
      </c>
    </row>
    <row r="137" spans="1:49" ht="14.25" x14ac:dyDescent="0.2">
      <c r="A137" s="144" t="s">
        <v>233</v>
      </c>
      <c r="B137" s="230">
        <v>8647</v>
      </c>
      <c r="C137" s="144" t="s">
        <v>133</v>
      </c>
      <c r="D137" s="144" t="s">
        <v>169</v>
      </c>
      <c r="E137" s="145">
        <v>10956.25</v>
      </c>
      <c r="F137" s="129">
        <f t="shared" si="13"/>
        <v>10956.25</v>
      </c>
      <c r="G137" s="144" t="s">
        <v>117</v>
      </c>
      <c r="H137" s="170">
        <f t="shared" si="14"/>
        <v>0</v>
      </c>
      <c r="I137" s="135"/>
      <c r="J137" s="146" t="s">
        <v>328</v>
      </c>
      <c r="K137" s="146" t="s">
        <v>309</v>
      </c>
      <c r="L137" s="147">
        <v>0</v>
      </c>
      <c r="M137" s="147">
        <v>474</v>
      </c>
      <c r="N137" s="147">
        <v>0</v>
      </c>
      <c r="O137" s="147">
        <v>258</v>
      </c>
      <c r="P137" s="147">
        <v>4.2</v>
      </c>
      <c r="Q137" s="164">
        <v>0.2</v>
      </c>
      <c r="R137" s="147">
        <v>0</v>
      </c>
      <c r="S137" s="146"/>
      <c r="Z137" s="222"/>
      <c r="AA137" s="222"/>
      <c r="AB137" s="222"/>
      <c r="AC137" s="222"/>
      <c r="AD137" s="222"/>
      <c r="AE137" s="222"/>
      <c r="AF137" s="222" t="s">
        <v>410</v>
      </c>
      <c r="AG137" s="222" t="s">
        <v>410</v>
      </c>
      <c r="AH137" s="222" t="s">
        <v>410</v>
      </c>
      <c r="AI137" s="222"/>
      <c r="AJ137" s="222"/>
      <c r="AK137" s="222" t="s">
        <v>410</v>
      </c>
      <c r="AL137" s="222"/>
      <c r="AM137" s="222"/>
      <c r="AN137" s="222"/>
      <c r="AO137" s="222"/>
      <c r="AP137" s="222"/>
      <c r="AQ137" s="222"/>
      <c r="AR137" s="222"/>
      <c r="AS137" s="222"/>
      <c r="AT137" s="222"/>
      <c r="AU137" s="222"/>
      <c r="AV137" s="232">
        <f t="shared" si="11"/>
        <v>8889.116</v>
      </c>
      <c r="AW137" s="233">
        <f t="shared" si="12"/>
        <v>0.81132832857957782</v>
      </c>
    </row>
    <row r="138" spans="1:49" ht="14.25" x14ac:dyDescent="0.2">
      <c r="A138" s="144" t="s">
        <v>234</v>
      </c>
      <c r="B138" s="230">
        <v>10770</v>
      </c>
      <c r="C138" s="144" t="s">
        <v>133</v>
      </c>
      <c r="D138" s="144" t="s">
        <v>172</v>
      </c>
      <c r="E138" s="145">
        <v>15338.75</v>
      </c>
      <c r="F138" s="129">
        <f t="shared" si="13"/>
        <v>15338.750000000002</v>
      </c>
      <c r="G138" s="144" t="s">
        <v>117</v>
      </c>
      <c r="H138" s="170">
        <f t="shared" si="14"/>
        <v>0</v>
      </c>
      <c r="I138" s="135"/>
      <c r="J138" s="146" t="s">
        <v>329</v>
      </c>
      <c r="K138" s="146" t="s">
        <v>309</v>
      </c>
      <c r="L138" s="147">
        <v>0</v>
      </c>
      <c r="M138" s="147">
        <v>671</v>
      </c>
      <c r="N138" s="147">
        <v>0</v>
      </c>
      <c r="O138" s="147">
        <v>232</v>
      </c>
      <c r="P138" s="147">
        <v>5.9</v>
      </c>
      <c r="Q138" s="164">
        <v>0.3</v>
      </c>
      <c r="R138" s="147">
        <v>0</v>
      </c>
      <c r="S138" s="146"/>
      <c r="Z138" s="222"/>
      <c r="AA138" s="222"/>
      <c r="AB138" s="222"/>
      <c r="AC138" s="222"/>
      <c r="AD138" s="222"/>
      <c r="AE138" s="222"/>
      <c r="AF138" s="222" t="s">
        <v>410</v>
      </c>
      <c r="AG138" s="222" t="s">
        <v>410</v>
      </c>
      <c r="AH138" s="222" t="s">
        <v>410</v>
      </c>
      <c r="AI138" s="222"/>
      <c r="AJ138" s="222"/>
      <c r="AK138" s="222" t="s">
        <v>410</v>
      </c>
      <c r="AL138" s="222"/>
      <c r="AM138" s="222"/>
      <c r="AN138" s="222"/>
      <c r="AO138" s="222"/>
      <c r="AP138" s="222"/>
      <c r="AQ138" s="222"/>
      <c r="AR138" s="222"/>
      <c r="AS138" s="222"/>
      <c r="AT138" s="222"/>
      <c r="AU138" s="222"/>
      <c r="AV138" s="232">
        <f t="shared" si="11"/>
        <v>11071.56</v>
      </c>
      <c r="AW138" s="233">
        <f t="shared" si="12"/>
        <v>0.72180327601662453</v>
      </c>
    </row>
    <row r="139" spans="1:49" ht="14.25" x14ac:dyDescent="0.2">
      <c r="A139" s="144" t="s">
        <v>235</v>
      </c>
      <c r="B139" s="230">
        <v>6370</v>
      </c>
      <c r="C139" s="144" t="s">
        <v>137</v>
      </c>
      <c r="D139" s="144" t="s">
        <v>174</v>
      </c>
      <c r="E139" s="145">
        <v>10956.25</v>
      </c>
      <c r="F139" s="129">
        <f t="shared" si="13"/>
        <v>10956.25</v>
      </c>
      <c r="G139" s="144" t="s">
        <v>117</v>
      </c>
      <c r="H139" s="170">
        <f t="shared" si="14"/>
        <v>0</v>
      </c>
      <c r="I139" s="135"/>
      <c r="J139" s="146" t="s">
        <v>325</v>
      </c>
      <c r="K139" s="146" t="s">
        <v>287</v>
      </c>
      <c r="L139" s="147">
        <v>0</v>
      </c>
      <c r="M139" s="147">
        <v>189</v>
      </c>
      <c r="N139" s="147">
        <v>0</v>
      </c>
      <c r="O139" s="147">
        <v>164</v>
      </c>
      <c r="P139" s="147">
        <v>5.9</v>
      </c>
      <c r="Q139" s="164">
        <v>0.34</v>
      </c>
      <c r="R139" s="147">
        <v>0</v>
      </c>
      <c r="S139" s="146"/>
      <c r="Z139" s="222"/>
      <c r="AA139" s="222"/>
      <c r="AB139" s="222"/>
      <c r="AC139" s="222"/>
      <c r="AD139" s="222"/>
      <c r="AE139" s="222"/>
      <c r="AF139" s="222" t="s">
        <v>410</v>
      </c>
      <c r="AG139" s="222" t="s">
        <v>410</v>
      </c>
      <c r="AH139" s="222" t="s">
        <v>410</v>
      </c>
      <c r="AI139" s="222"/>
      <c r="AJ139" s="222"/>
      <c r="AK139" s="222" t="s">
        <v>410</v>
      </c>
      <c r="AL139" s="222"/>
      <c r="AM139" s="222"/>
      <c r="AN139" s="222"/>
      <c r="AO139" s="222"/>
      <c r="AP139" s="222"/>
      <c r="AQ139" s="222"/>
      <c r="AR139" s="222"/>
      <c r="AS139" s="222"/>
      <c r="AT139" s="222"/>
      <c r="AU139" s="222"/>
      <c r="AV139" s="232">
        <f t="shared" si="11"/>
        <v>6548.36</v>
      </c>
      <c r="AW139" s="233">
        <f t="shared" si="12"/>
        <v>0.5976826012549914</v>
      </c>
    </row>
    <row r="140" spans="1:49" ht="14.25" x14ac:dyDescent="0.2">
      <c r="A140" s="144" t="s">
        <v>236</v>
      </c>
      <c r="B140" s="230" t="s">
        <v>85</v>
      </c>
      <c r="C140" s="144" t="s">
        <v>137</v>
      </c>
      <c r="D140" s="144" t="s">
        <v>174</v>
      </c>
      <c r="E140" s="145">
        <v>10956.25</v>
      </c>
      <c r="F140" s="129">
        <f t="shared" si="13"/>
        <v>10956.25</v>
      </c>
      <c r="G140" s="144" t="s">
        <v>117</v>
      </c>
      <c r="H140" s="170">
        <f t="shared" si="14"/>
        <v>0</v>
      </c>
      <c r="I140" s="135"/>
      <c r="J140" s="146" t="s">
        <v>326</v>
      </c>
      <c r="K140" s="146" t="s">
        <v>287</v>
      </c>
      <c r="L140" s="147">
        <v>0</v>
      </c>
      <c r="M140" s="147">
        <v>189</v>
      </c>
      <c r="N140" s="147">
        <v>0</v>
      </c>
      <c r="O140" s="147">
        <v>164</v>
      </c>
      <c r="P140" s="147"/>
      <c r="Q140" s="164"/>
      <c r="R140" s="147">
        <v>0</v>
      </c>
      <c r="S140" s="146"/>
      <c r="Z140" s="222"/>
      <c r="AA140" s="222"/>
      <c r="AB140" s="222"/>
      <c r="AC140" s="222"/>
      <c r="AD140" s="222"/>
      <c r="AE140" s="222"/>
      <c r="AF140" s="222" t="s">
        <v>410</v>
      </c>
      <c r="AG140" s="222" t="s">
        <v>410</v>
      </c>
      <c r="AH140" s="222" t="s">
        <v>410</v>
      </c>
      <c r="AI140" s="222"/>
      <c r="AJ140" s="222"/>
      <c r="AK140" s="222" t="s">
        <v>410</v>
      </c>
      <c r="AL140" s="222"/>
      <c r="AM140" s="222"/>
      <c r="AN140" s="222"/>
      <c r="AO140" s="222"/>
      <c r="AP140" s="222"/>
      <c r="AQ140" s="222"/>
      <c r="AR140" s="222"/>
      <c r="AS140" s="222"/>
      <c r="AT140" s="222"/>
      <c r="AU140" s="222"/>
      <c r="AV140" s="232" t="e">
        <f t="shared" si="11"/>
        <v>#VALUE!</v>
      </c>
      <c r="AW140" s="233" t="e">
        <f t="shared" si="12"/>
        <v>#VALUE!</v>
      </c>
    </row>
    <row r="141" spans="1:49" ht="14.25" x14ac:dyDescent="0.2">
      <c r="A141" s="144" t="s">
        <v>331</v>
      </c>
      <c r="B141" s="145">
        <v>110.14</v>
      </c>
      <c r="C141" s="144" t="s">
        <v>283</v>
      </c>
      <c r="D141" s="144" t="s">
        <v>101</v>
      </c>
      <c r="E141" s="145">
        <v>153.4</v>
      </c>
      <c r="F141" s="129">
        <f t="shared" si="13"/>
        <v>153.4</v>
      </c>
      <c r="G141" s="144" t="s">
        <v>99</v>
      </c>
      <c r="H141" s="170">
        <f t="shared" si="14"/>
        <v>0</v>
      </c>
      <c r="I141" s="135"/>
      <c r="J141" s="146" t="s">
        <v>331</v>
      </c>
      <c r="K141" s="146" t="s">
        <v>283</v>
      </c>
      <c r="L141" s="147">
        <v>0</v>
      </c>
      <c r="M141" s="147">
        <v>2.67</v>
      </c>
      <c r="N141" s="147">
        <v>0</v>
      </c>
      <c r="O141" s="147">
        <v>2.09</v>
      </c>
      <c r="P141" s="147">
        <v>0.2</v>
      </c>
      <c r="Q141" s="164">
        <v>1.1000000000000001E-3</v>
      </c>
      <c r="R141" s="147">
        <v>0</v>
      </c>
      <c r="S141" s="146"/>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32">
        <f t="shared" si="11"/>
        <v>113.22391999999999</v>
      </c>
      <c r="AW141" s="233">
        <f t="shared" si="12"/>
        <v>0.73809595827900909</v>
      </c>
    </row>
    <row r="142" spans="1:49" ht="14.25" x14ac:dyDescent="0.2">
      <c r="A142" s="144" t="s">
        <v>330</v>
      </c>
      <c r="B142" s="145">
        <v>110.14</v>
      </c>
      <c r="C142" s="144" t="s">
        <v>283</v>
      </c>
      <c r="D142" s="144" t="s">
        <v>101</v>
      </c>
      <c r="E142" s="145">
        <v>153.4</v>
      </c>
      <c r="F142" s="129">
        <f t="shared" si="13"/>
        <v>153.4</v>
      </c>
      <c r="G142" s="144" t="s">
        <v>99</v>
      </c>
      <c r="H142" s="170">
        <f t="shared" si="14"/>
        <v>0</v>
      </c>
      <c r="I142" s="135"/>
      <c r="J142" s="146" t="s">
        <v>330</v>
      </c>
      <c r="K142" s="146" t="s">
        <v>283</v>
      </c>
      <c r="L142" s="147">
        <v>0</v>
      </c>
      <c r="M142" s="147">
        <v>0.99</v>
      </c>
      <c r="N142" s="147">
        <v>0</v>
      </c>
      <c r="O142" s="147">
        <v>0.78</v>
      </c>
      <c r="P142" s="147">
        <v>0.2</v>
      </c>
      <c r="Q142" s="164">
        <v>2.2000000000000001E-3</v>
      </c>
      <c r="R142" s="147">
        <v>0</v>
      </c>
      <c r="S142" s="146"/>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32">
        <f t="shared" si="11"/>
        <v>113.22391999999999</v>
      </c>
      <c r="AW142" s="233">
        <f t="shared" si="12"/>
        <v>0.73809595827900909</v>
      </c>
    </row>
    <row r="143" spans="1:49" ht="14.25" x14ac:dyDescent="0.2">
      <c r="A143" s="144" t="s">
        <v>237</v>
      </c>
      <c r="B143" s="145" t="s">
        <v>85</v>
      </c>
      <c r="C143" s="144"/>
      <c r="D143" s="144" t="s">
        <v>99</v>
      </c>
      <c r="E143" s="145">
        <v>76.75</v>
      </c>
      <c r="F143" s="129">
        <f t="shared" si="13"/>
        <v>76.75</v>
      </c>
      <c r="G143" s="144" t="s">
        <v>99</v>
      </c>
      <c r="H143" s="170">
        <f t="shared" si="14"/>
        <v>0</v>
      </c>
      <c r="I143" s="135"/>
      <c r="J143" s="146" t="s">
        <v>237</v>
      </c>
      <c r="K143" s="146" t="s">
        <v>85</v>
      </c>
      <c r="L143" s="147">
        <v>0</v>
      </c>
      <c r="M143" s="147">
        <v>0</v>
      </c>
      <c r="N143" s="147">
        <v>0</v>
      </c>
      <c r="O143" s="147">
        <v>0</v>
      </c>
      <c r="P143" s="147">
        <v>0</v>
      </c>
      <c r="Q143" s="164">
        <v>0</v>
      </c>
      <c r="R143" s="147">
        <v>0</v>
      </c>
      <c r="S143" s="146"/>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32" t="e">
        <f t="shared" si="11"/>
        <v>#VALUE!</v>
      </c>
      <c r="AW143" s="233" t="e">
        <f t="shared" si="12"/>
        <v>#VALUE!</v>
      </c>
    </row>
    <row r="144" spans="1:49" ht="14.25" x14ac:dyDescent="0.2">
      <c r="A144" s="144" t="s">
        <v>238</v>
      </c>
      <c r="B144" s="145">
        <v>0</v>
      </c>
      <c r="C144" s="144" t="s">
        <v>105</v>
      </c>
      <c r="D144" s="144" t="s">
        <v>99</v>
      </c>
      <c r="E144" s="145" t="s">
        <v>85</v>
      </c>
      <c r="F144" s="129" t="str">
        <f t="shared" ref="F144:F174" si="15">IF(E144="FPA","FPA",E144*$F$6/$E$6)</f>
        <v>FPA</v>
      </c>
      <c r="G144" s="144" t="s">
        <v>99</v>
      </c>
      <c r="H144" s="170">
        <f t="shared" si="14"/>
        <v>0</v>
      </c>
      <c r="I144" s="135"/>
      <c r="J144" s="146" t="s">
        <v>238</v>
      </c>
      <c r="K144" s="146" t="s">
        <v>283</v>
      </c>
      <c r="L144" s="147">
        <v>0</v>
      </c>
      <c r="M144" s="147">
        <v>0</v>
      </c>
      <c r="N144" s="147">
        <v>0</v>
      </c>
      <c r="O144" s="147">
        <v>0</v>
      </c>
      <c r="P144" s="147">
        <v>0</v>
      </c>
      <c r="Q144" s="164">
        <v>0</v>
      </c>
      <c r="R144" s="147">
        <v>0</v>
      </c>
      <c r="S144" s="146"/>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32">
        <f t="shared" si="11"/>
        <v>0</v>
      </c>
      <c r="AW144" s="233" t="e">
        <f t="shared" si="12"/>
        <v>#VALUE!</v>
      </c>
    </row>
    <row r="145" spans="1:49" ht="14.25" x14ac:dyDescent="0.2">
      <c r="A145" s="144" t="s">
        <v>239</v>
      </c>
      <c r="B145" s="145">
        <v>0</v>
      </c>
      <c r="C145" s="144" t="s">
        <v>105</v>
      </c>
      <c r="D145" s="144" t="s">
        <v>126</v>
      </c>
      <c r="E145" s="145">
        <v>0</v>
      </c>
      <c r="F145" s="129">
        <f t="shared" si="15"/>
        <v>0</v>
      </c>
      <c r="G145" s="144" t="s">
        <v>99</v>
      </c>
      <c r="H145" s="170">
        <f t="shared" ref="H145:H174" si="16">+IF(B145="FPA",0,IF(B145&gt;F145,1,0))</f>
        <v>0</v>
      </c>
      <c r="I145" s="135"/>
      <c r="J145" s="146" t="s">
        <v>239</v>
      </c>
      <c r="K145" s="146" t="s">
        <v>283</v>
      </c>
      <c r="L145" s="147">
        <v>0</v>
      </c>
      <c r="M145" s="147">
        <v>0</v>
      </c>
      <c r="N145" s="147">
        <v>0</v>
      </c>
      <c r="O145" s="147">
        <v>0</v>
      </c>
      <c r="P145" s="147">
        <v>0</v>
      </c>
      <c r="Q145" s="164">
        <v>0</v>
      </c>
      <c r="R145" s="147">
        <v>0</v>
      </c>
      <c r="S145" s="146"/>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32">
        <f t="shared" si="11"/>
        <v>0</v>
      </c>
      <c r="AW145" s="233" t="e">
        <f t="shared" si="12"/>
        <v>#DIV/0!</v>
      </c>
    </row>
    <row r="146" spans="1:49" ht="14.25" x14ac:dyDescent="0.2">
      <c r="A146" s="144" t="s">
        <v>240</v>
      </c>
      <c r="B146" s="145">
        <v>211.09</v>
      </c>
      <c r="C146" s="144" t="s">
        <v>283</v>
      </c>
      <c r="D146" s="144" t="s">
        <v>111</v>
      </c>
      <c r="E146" s="145">
        <v>219.1</v>
      </c>
      <c r="F146" s="129">
        <f t="shared" si="15"/>
        <v>219.1</v>
      </c>
      <c r="G146" s="144" t="s">
        <v>99</v>
      </c>
      <c r="H146" s="170">
        <f t="shared" si="16"/>
        <v>0</v>
      </c>
      <c r="I146" s="135"/>
      <c r="J146" s="146" t="s">
        <v>240</v>
      </c>
      <c r="K146" s="146" t="s">
        <v>283</v>
      </c>
      <c r="L146" s="147">
        <v>0</v>
      </c>
      <c r="M146" s="147">
        <v>10.75</v>
      </c>
      <c r="N146" s="147">
        <v>0</v>
      </c>
      <c r="O146" s="147">
        <v>8.41</v>
      </c>
      <c r="P146" s="147">
        <v>3.5</v>
      </c>
      <c r="Q146" s="164">
        <v>8.1000000000000013E-3</v>
      </c>
      <c r="R146" s="147">
        <v>0</v>
      </c>
      <c r="S146" s="146"/>
      <c r="Z146" s="222"/>
      <c r="AA146" s="222"/>
      <c r="AB146" s="222"/>
      <c r="AC146" s="222"/>
      <c r="AD146" s="222"/>
      <c r="AE146" s="222"/>
      <c r="AF146" s="222"/>
      <c r="AG146" s="222"/>
      <c r="AH146" s="222" t="s">
        <v>434</v>
      </c>
      <c r="AI146" s="222" t="s">
        <v>434</v>
      </c>
      <c r="AJ146" s="222"/>
      <c r="AK146" s="222"/>
      <c r="AL146" s="222"/>
      <c r="AM146" s="222"/>
      <c r="AN146" s="222"/>
      <c r="AO146" s="222"/>
      <c r="AP146" s="222"/>
      <c r="AQ146" s="222"/>
      <c r="AR146" s="222"/>
      <c r="AS146" s="222"/>
      <c r="AT146" s="222"/>
      <c r="AU146" s="222"/>
      <c r="AV146" s="232">
        <f t="shared" ref="AV146:AV174" si="17">B146*102.8/100</f>
        <v>217.00051999999999</v>
      </c>
      <c r="AW146" s="233">
        <f t="shared" ref="AW146:AW174" si="18">AV146/E146</f>
        <v>0.99041770880876312</v>
      </c>
    </row>
    <row r="147" spans="1:49" ht="14.25" x14ac:dyDescent="0.2">
      <c r="A147" s="144" t="s">
        <v>241</v>
      </c>
      <c r="B147" s="145" t="s">
        <v>85</v>
      </c>
      <c r="C147" s="144"/>
      <c r="D147" s="144" t="s">
        <v>103</v>
      </c>
      <c r="E147" s="145" t="s">
        <v>85</v>
      </c>
      <c r="F147" s="129" t="str">
        <f t="shared" si="15"/>
        <v>FPA</v>
      </c>
      <c r="G147" s="144" t="s">
        <v>99</v>
      </c>
      <c r="H147" s="170">
        <f t="shared" si="16"/>
        <v>0</v>
      </c>
      <c r="I147" s="135"/>
      <c r="J147" s="146" t="s">
        <v>241</v>
      </c>
      <c r="K147" s="146" t="s">
        <v>85</v>
      </c>
      <c r="L147" s="147">
        <v>0</v>
      </c>
      <c r="M147" s="147">
        <v>0</v>
      </c>
      <c r="N147" s="147">
        <v>0</v>
      </c>
      <c r="O147" s="147">
        <v>0</v>
      </c>
      <c r="P147" s="147">
        <v>0</v>
      </c>
      <c r="Q147" s="164">
        <v>0</v>
      </c>
      <c r="R147" s="147">
        <v>0</v>
      </c>
      <c r="S147" s="146"/>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32" t="e">
        <f t="shared" si="17"/>
        <v>#VALUE!</v>
      </c>
      <c r="AW147" s="233" t="e">
        <f t="shared" si="18"/>
        <v>#VALUE!</v>
      </c>
    </row>
    <row r="148" spans="1:49" ht="14.25" x14ac:dyDescent="0.2">
      <c r="A148" s="144" t="s">
        <v>439</v>
      </c>
      <c r="B148" s="230">
        <v>7888</v>
      </c>
      <c r="C148" s="144" t="s">
        <v>243</v>
      </c>
      <c r="D148" s="144" t="s">
        <v>244</v>
      </c>
      <c r="E148" s="145">
        <v>10956.25</v>
      </c>
      <c r="F148" s="129">
        <f t="shared" si="15"/>
        <v>10956.25</v>
      </c>
      <c r="G148" s="144" t="s">
        <v>117</v>
      </c>
      <c r="H148" s="170">
        <f t="shared" si="16"/>
        <v>0</v>
      </c>
      <c r="I148" s="135"/>
      <c r="J148" s="146" t="s">
        <v>242</v>
      </c>
      <c r="K148" s="146" t="s">
        <v>243</v>
      </c>
      <c r="L148" s="147">
        <v>0</v>
      </c>
      <c r="M148" s="147">
        <v>300</v>
      </c>
      <c r="N148" s="147">
        <v>0</v>
      </c>
      <c r="O148" s="147">
        <v>275</v>
      </c>
      <c r="P148" s="147">
        <v>5</v>
      </c>
      <c r="Q148" s="164">
        <v>0.26</v>
      </c>
      <c r="R148" s="147">
        <v>0</v>
      </c>
      <c r="S148" s="146"/>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32">
        <f t="shared" si="17"/>
        <v>8108.8640000000005</v>
      </c>
      <c r="AW148" s="233">
        <f t="shared" si="18"/>
        <v>0.74011308613804905</v>
      </c>
    </row>
    <row r="149" spans="1:49" ht="14.25" x14ac:dyDescent="0.2">
      <c r="A149" s="144" t="s">
        <v>440</v>
      </c>
      <c r="B149" s="230">
        <v>13376</v>
      </c>
      <c r="C149" s="144" t="s">
        <v>243</v>
      </c>
      <c r="D149" s="144" t="s">
        <v>245</v>
      </c>
      <c r="E149" s="145">
        <v>15338.75</v>
      </c>
      <c r="F149" s="129">
        <f t="shared" si="15"/>
        <v>15338.750000000002</v>
      </c>
      <c r="G149" s="144" t="s">
        <v>117</v>
      </c>
      <c r="H149" s="170">
        <f t="shared" si="16"/>
        <v>0</v>
      </c>
      <c r="I149" s="135"/>
      <c r="J149" s="146" t="s">
        <v>388</v>
      </c>
      <c r="K149" s="146" t="s">
        <v>243</v>
      </c>
      <c r="L149" s="147">
        <v>0</v>
      </c>
      <c r="M149" s="147">
        <v>600</v>
      </c>
      <c r="N149" s="147">
        <v>0</v>
      </c>
      <c r="O149" s="147">
        <v>570</v>
      </c>
      <c r="P149" s="147">
        <v>5</v>
      </c>
      <c r="Q149" s="164">
        <v>0.26</v>
      </c>
      <c r="R149" s="147">
        <v>0</v>
      </c>
      <c r="S149" s="146"/>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32">
        <f t="shared" si="17"/>
        <v>13750.528</v>
      </c>
      <c r="AW149" s="233">
        <f t="shared" si="18"/>
        <v>0.89645688207970009</v>
      </c>
    </row>
    <row r="150" spans="1:49" ht="14.25" x14ac:dyDescent="0.2">
      <c r="A150" s="144" t="s">
        <v>441</v>
      </c>
      <c r="B150" s="230">
        <v>10440</v>
      </c>
      <c r="C150" s="144" t="s">
        <v>247</v>
      </c>
      <c r="D150" s="144" t="s">
        <v>248</v>
      </c>
      <c r="E150" s="145">
        <v>10956.25</v>
      </c>
      <c r="F150" s="129">
        <f t="shared" si="15"/>
        <v>10956.25</v>
      </c>
      <c r="G150" s="144" t="s">
        <v>117</v>
      </c>
      <c r="H150" s="170">
        <f t="shared" si="16"/>
        <v>0</v>
      </c>
      <c r="I150" s="135"/>
      <c r="J150" s="146" t="s">
        <v>246</v>
      </c>
      <c r="K150" s="146" t="s">
        <v>247</v>
      </c>
      <c r="L150" s="147">
        <v>0</v>
      </c>
      <c r="M150" s="147">
        <f>+M148</f>
        <v>300</v>
      </c>
      <c r="N150" s="147">
        <v>0</v>
      </c>
      <c r="O150" s="147">
        <f t="shared" ref="O150:Q151" si="19">+O148</f>
        <v>275</v>
      </c>
      <c r="P150" s="147">
        <f t="shared" si="19"/>
        <v>5</v>
      </c>
      <c r="Q150" s="147">
        <f t="shared" si="19"/>
        <v>0.26</v>
      </c>
      <c r="R150" s="147">
        <v>0</v>
      </c>
      <c r="S150" s="146"/>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32">
        <f t="shared" si="17"/>
        <v>10732.32</v>
      </c>
      <c r="AW150" s="233">
        <f t="shared" si="18"/>
        <v>0.97956143753565317</v>
      </c>
    </row>
    <row r="151" spans="1:49" ht="14.25" x14ac:dyDescent="0.2">
      <c r="A151" s="144" t="s">
        <v>442</v>
      </c>
      <c r="B151" s="230">
        <v>10440</v>
      </c>
      <c r="C151" s="144" t="s">
        <v>250</v>
      </c>
      <c r="D151" s="144" t="s">
        <v>251</v>
      </c>
      <c r="E151" s="145">
        <v>15338.75</v>
      </c>
      <c r="F151" s="129">
        <f t="shared" si="15"/>
        <v>15338.750000000002</v>
      </c>
      <c r="G151" s="144" t="s">
        <v>117</v>
      </c>
      <c r="H151" s="170">
        <f t="shared" si="16"/>
        <v>0</v>
      </c>
      <c r="I151" s="135"/>
      <c r="J151" s="146" t="s">
        <v>249</v>
      </c>
      <c r="K151" s="146" t="s">
        <v>250</v>
      </c>
      <c r="L151" s="147">
        <v>0</v>
      </c>
      <c r="M151" s="147">
        <f>+M149</f>
        <v>600</v>
      </c>
      <c r="N151" s="147">
        <v>0</v>
      </c>
      <c r="O151" s="147">
        <f t="shared" si="19"/>
        <v>570</v>
      </c>
      <c r="P151" s="147">
        <f t="shared" si="19"/>
        <v>5</v>
      </c>
      <c r="Q151" s="147">
        <f t="shared" si="19"/>
        <v>0.26</v>
      </c>
      <c r="R151" s="147">
        <v>0</v>
      </c>
      <c r="S151" s="146"/>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32">
        <f t="shared" si="17"/>
        <v>10732.32</v>
      </c>
      <c r="AW151" s="233">
        <f t="shared" si="18"/>
        <v>0.6996867410968951</v>
      </c>
    </row>
    <row r="152" spans="1:49" ht="14.25" x14ac:dyDescent="0.2">
      <c r="A152" s="159" t="s">
        <v>435</v>
      </c>
      <c r="B152" s="231">
        <v>5916</v>
      </c>
      <c r="C152" s="159" t="s">
        <v>243</v>
      </c>
      <c r="D152" s="159" t="s">
        <v>244</v>
      </c>
      <c r="E152" s="160">
        <v>10956.25</v>
      </c>
      <c r="F152" s="129">
        <f t="shared" si="15"/>
        <v>10956.25</v>
      </c>
      <c r="G152" s="159" t="s">
        <v>117</v>
      </c>
      <c r="H152" s="170">
        <f t="shared" si="16"/>
        <v>0</v>
      </c>
      <c r="I152" s="135"/>
      <c r="J152" s="149" t="s">
        <v>242</v>
      </c>
      <c r="K152" s="149" t="s">
        <v>243</v>
      </c>
      <c r="L152" s="150">
        <f t="shared" ref="L152" si="20">0.75*L148</f>
        <v>0</v>
      </c>
      <c r="M152" s="150">
        <f>0.75*M148</f>
        <v>225</v>
      </c>
      <c r="N152" s="150">
        <f t="shared" ref="N152:R152" si="21">0.75*N148</f>
        <v>0</v>
      </c>
      <c r="O152" s="150">
        <f t="shared" si="21"/>
        <v>206.25</v>
      </c>
      <c r="P152" s="150">
        <f t="shared" si="21"/>
        <v>3.75</v>
      </c>
      <c r="Q152" s="150">
        <f t="shared" si="21"/>
        <v>0.19500000000000001</v>
      </c>
      <c r="R152" s="150">
        <f t="shared" si="21"/>
        <v>0</v>
      </c>
      <c r="S152" s="146"/>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32">
        <f t="shared" si="17"/>
        <v>6081.6479999999992</v>
      </c>
      <c r="AW152" s="233">
        <f t="shared" si="18"/>
        <v>0.55508481460353676</v>
      </c>
    </row>
    <row r="153" spans="1:49" ht="14.25" x14ac:dyDescent="0.2">
      <c r="A153" s="159" t="s">
        <v>436</v>
      </c>
      <c r="B153" s="231">
        <v>10032</v>
      </c>
      <c r="C153" s="159" t="s">
        <v>243</v>
      </c>
      <c r="D153" s="159" t="s">
        <v>245</v>
      </c>
      <c r="E153" s="160">
        <v>15338.75</v>
      </c>
      <c r="F153" s="129">
        <f t="shared" si="15"/>
        <v>15338.750000000002</v>
      </c>
      <c r="G153" s="159" t="s">
        <v>117</v>
      </c>
      <c r="H153" s="170">
        <f t="shared" si="16"/>
        <v>0</v>
      </c>
      <c r="I153" s="135"/>
      <c r="J153" s="149" t="s">
        <v>388</v>
      </c>
      <c r="K153" s="149" t="s">
        <v>243</v>
      </c>
      <c r="L153" s="150">
        <f t="shared" ref="L153:R153" si="22">0.75*L149</f>
        <v>0</v>
      </c>
      <c r="M153" s="150">
        <f t="shared" si="22"/>
        <v>450</v>
      </c>
      <c r="N153" s="150">
        <f t="shared" si="22"/>
        <v>0</v>
      </c>
      <c r="O153" s="150">
        <f t="shared" si="22"/>
        <v>427.5</v>
      </c>
      <c r="P153" s="150">
        <f t="shared" si="22"/>
        <v>3.75</v>
      </c>
      <c r="Q153" s="150">
        <f t="shared" si="22"/>
        <v>0.19500000000000001</v>
      </c>
      <c r="R153" s="150">
        <f t="shared" si="22"/>
        <v>0</v>
      </c>
      <c r="S153" s="146"/>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32">
        <f t="shared" si="17"/>
        <v>10312.896000000001</v>
      </c>
      <c r="AW153" s="233">
        <f t="shared" si="18"/>
        <v>0.67234266155977507</v>
      </c>
    </row>
    <row r="154" spans="1:49" ht="14.25" x14ac:dyDescent="0.2">
      <c r="A154" s="159" t="s">
        <v>437</v>
      </c>
      <c r="B154" s="231">
        <v>7832</v>
      </c>
      <c r="C154" s="159" t="s">
        <v>247</v>
      </c>
      <c r="D154" s="159" t="s">
        <v>248</v>
      </c>
      <c r="E154" s="160">
        <v>10956.25</v>
      </c>
      <c r="F154" s="129">
        <f t="shared" si="15"/>
        <v>10956.25</v>
      </c>
      <c r="G154" s="159" t="s">
        <v>117</v>
      </c>
      <c r="H154" s="170">
        <f t="shared" si="16"/>
        <v>0</v>
      </c>
      <c r="I154" s="135"/>
      <c r="J154" s="149" t="s">
        <v>246</v>
      </c>
      <c r="K154" s="149" t="s">
        <v>247</v>
      </c>
      <c r="L154" s="150">
        <f t="shared" ref="L154:R154" si="23">0.75*L150</f>
        <v>0</v>
      </c>
      <c r="M154" s="150">
        <f t="shared" si="23"/>
        <v>225</v>
      </c>
      <c r="N154" s="150">
        <f t="shared" si="23"/>
        <v>0</v>
      </c>
      <c r="O154" s="150">
        <f t="shared" si="23"/>
        <v>206.25</v>
      </c>
      <c r="P154" s="150">
        <f t="shared" si="23"/>
        <v>3.75</v>
      </c>
      <c r="Q154" s="150">
        <f t="shared" si="23"/>
        <v>0.19500000000000001</v>
      </c>
      <c r="R154" s="150">
        <f t="shared" si="23"/>
        <v>0</v>
      </c>
      <c r="S154" s="146"/>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32">
        <f t="shared" si="17"/>
        <v>8051.2959999999994</v>
      </c>
      <c r="AW154" s="233">
        <f t="shared" si="18"/>
        <v>0.73485873359954357</v>
      </c>
    </row>
    <row r="155" spans="1:49" ht="14.25" x14ac:dyDescent="0.2">
      <c r="A155" s="159" t="s">
        <v>438</v>
      </c>
      <c r="B155" s="231">
        <v>7832</v>
      </c>
      <c r="C155" s="159" t="s">
        <v>250</v>
      </c>
      <c r="D155" s="159" t="s">
        <v>251</v>
      </c>
      <c r="E155" s="160">
        <v>15338.75</v>
      </c>
      <c r="F155" s="129">
        <f t="shared" si="15"/>
        <v>15338.750000000002</v>
      </c>
      <c r="G155" s="159" t="s">
        <v>117</v>
      </c>
      <c r="H155" s="170">
        <f t="shared" si="16"/>
        <v>0</v>
      </c>
      <c r="I155" s="135"/>
      <c r="J155" s="149" t="s">
        <v>249</v>
      </c>
      <c r="K155" s="149" t="s">
        <v>250</v>
      </c>
      <c r="L155" s="150">
        <f t="shared" ref="L155:R155" si="24">0.75*L151</f>
        <v>0</v>
      </c>
      <c r="M155" s="150">
        <f t="shared" si="24"/>
        <v>450</v>
      </c>
      <c r="N155" s="150">
        <f t="shared" si="24"/>
        <v>0</v>
      </c>
      <c r="O155" s="150">
        <f t="shared" si="24"/>
        <v>427.5</v>
      </c>
      <c r="P155" s="150">
        <f t="shared" si="24"/>
        <v>3.75</v>
      </c>
      <c r="Q155" s="150">
        <f t="shared" si="24"/>
        <v>0.19500000000000001</v>
      </c>
      <c r="R155" s="150">
        <f t="shared" si="24"/>
        <v>0</v>
      </c>
      <c r="S155" s="146"/>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32">
        <f t="shared" si="17"/>
        <v>8051.2959999999994</v>
      </c>
      <c r="AW155" s="233">
        <f t="shared" si="18"/>
        <v>0.52489909542824542</v>
      </c>
    </row>
    <row r="156" spans="1:49" ht="14.25" x14ac:dyDescent="0.2">
      <c r="A156" s="144" t="s">
        <v>252</v>
      </c>
      <c r="B156" s="145" t="s">
        <v>85</v>
      </c>
      <c r="C156" s="144"/>
      <c r="D156" s="144" t="s">
        <v>99</v>
      </c>
      <c r="E156" s="145" t="s">
        <v>85</v>
      </c>
      <c r="F156" s="129" t="str">
        <f t="shared" si="15"/>
        <v>FPA</v>
      </c>
      <c r="G156" s="144" t="s">
        <v>99</v>
      </c>
      <c r="H156" s="170">
        <f t="shared" si="16"/>
        <v>0</v>
      </c>
      <c r="I156" s="135"/>
      <c r="J156" s="146" t="s">
        <v>252</v>
      </c>
      <c r="K156" s="146" t="s">
        <v>85</v>
      </c>
      <c r="L156" s="147">
        <v>0</v>
      </c>
      <c r="M156" s="147">
        <v>0</v>
      </c>
      <c r="N156" s="147">
        <v>0</v>
      </c>
      <c r="O156" s="147">
        <v>0</v>
      </c>
      <c r="P156" s="147">
        <v>0</v>
      </c>
      <c r="Q156" s="164">
        <v>0</v>
      </c>
      <c r="R156" s="147">
        <v>0</v>
      </c>
      <c r="S156" s="146"/>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32" t="e">
        <f t="shared" si="17"/>
        <v>#VALUE!</v>
      </c>
      <c r="AW156" s="233" t="e">
        <f t="shared" si="18"/>
        <v>#VALUE!</v>
      </c>
    </row>
    <row r="157" spans="1:49" ht="14.25" x14ac:dyDescent="0.2">
      <c r="A157" s="144" t="s">
        <v>253</v>
      </c>
      <c r="B157" s="145" t="s">
        <v>85</v>
      </c>
      <c r="C157" s="144"/>
      <c r="D157" s="144" t="s">
        <v>103</v>
      </c>
      <c r="E157" s="145" t="s">
        <v>85</v>
      </c>
      <c r="F157" s="129" t="str">
        <f t="shared" si="15"/>
        <v>FPA</v>
      </c>
      <c r="G157" s="144" t="s">
        <v>99</v>
      </c>
      <c r="H157" s="170">
        <f t="shared" si="16"/>
        <v>0</v>
      </c>
      <c r="I157" s="135"/>
      <c r="J157" s="146" t="s">
        <v>253</v>
      </c>
      <c r="K157" s="146" t="s">
        <v>85</v>
      </c>
      <c r="L157" s="147">
        <v>0</v>
      </c>
      <c r="M157" s="147">
        <v>0</v>
      </c>
      <c r="N157" s="147">
        <v>0</v>
      </c>
      <c r="O157" s="147">
        <v>0</v>
      </c>
      <c r="P157" s="147">
        <v>0</v>
      </c>
      <c r="Q157" s="164">
        <v>0</v>
      </c>
      <c r="R157" s="147">
        <v>0</v>
      </c>
      <c r="S157" s="146"/>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32" t="e">
        <f t="shared" si="17"/>
        <v>#VALUE!</v>
      </c>
      <c r="AW157" s="233" t="e">
        <f t="shared" si="18"/>
        <v>#VALUE!</v>
      </c>
    </row>
    <row r="158" spans="1:49" ht="14.25" x14ac:dyDescent="0.2">
      <c r="A158" s="144" t="s">
        <v>254</v>
      </c>
      <c r="B158" s="145">
        <v>21899</v>
      </c>
      <c r="C158" s="144" t="s">
        <v>255</v>
      </c>
      <c r="D158" s="144" t="s">
        <v>120</v>
      </c>
      <c r="E158" s="145">
        <v>30677.65</v>
      </c>
      <c r="F158" s="129">
        <f t="shared" si="15"/>
        <v>30677.650000000005</v>
      </c>
      <c r="G158" s="144" t="s">
        <v>117</v>
      </c>
      <c r="H158" s="170">
        <f t="shared" si="16"/>
        <v>0</v>
      </c>
      <c r="I158" s="135"/>
      <c r="J158" s="146" t="s">
        <v>289</v>
      </c>
      <c r="K158" s="146" t="str">
        <f t="shared" ref="K158:R158" si="25">+K30</f>
        <v>Dwelling</v>
      </c>
      <c r="L158" s="147">
        <f t="shared" si="25"/>
        <v>0</v>
      </c>
      <c r="M158" s="147">
        <f>+M51</f>
        <v>650</v>
      </c>
      <c r="N158" s="147">
        <f t="shared" si="25"/>
        <v>0</v>
      </c>
      <c r="O158" s="147">
        <f t="shared" si="25"/>
        <v>631</v>
      </c>
      <c r="P158" s="147">
        <f t="shared" si="25"/>
        <v>7.3</v>
      </c>
      <c r="Q158" s="164">
        <f t="shared" si="25"/>
        <v>0.43</v>
      </c>
      <c r="R158" s="147">
        <f t="shared" si="25"/>
        <v>2.8</v>
      </c>
      <c r="S158" s="146"/>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32">
        <f t="shared" si="17"/>
        <v>22512.171999999999</v>
      </c>
      <c r="AW158" s="233">
        <f t="shared" si="18"/>
        <v>0.7338297424998329</v>
      </c>
    </row>
    <row r="159" spans="1:49" ht="14.25" x14ac:dyDescent="0.2">
      <c r="A159" s="144" t="s">
        <v>256</v>
      </c>
      <c r="B159" s="145">
        <v>22453</v>
      </c>
      <c r="C159" s="144" t="s">
        <v>255</v>
      </c>
      <c r="D159" s="144" t="s">
        <v>120</v>
      </c>
      <c r="E159" s="145">
        <v>30677.65</v>
      </c>
      <c r="F159" s="129">
        <f t="shared" si="15"/>
        <v>30677.650000000005</v>
      </c>
      <c r="G159" s="144" t="s">
        <v>117</v>
      </c>
      <c r="H159" s="170">
        <f t="shared" si="16"/>
        <v>0</v>
      </c>
      <c r="I159" s="135"/>
      <c r="J159" s="146" t="s">
        <v>290</v>
      </c>
      <c r="K159" s="146" t="str">
        <f t="shared" ref="K159:R159" si="26">+K31</f>
        <v>Dwelling</v>
      </c>
      <c r="L159" s="147">
        <f t="shared" si="26"/>
        <v>0</v>
      </c>
      <c r="M159" s="147">
        <f t="shared" si="26"/>
        <v>725</v>
      </c>
      <c r="N159" s="147">
        <f t="shared" si="26"/>
        <v>0</v>
      </c>
      <c r="O159" s="147">
        <f t="shared" si="26"/>
        <v>631</v>
      </c>
      <c r="P159" s="147">
        <f t="shared" si="26"/>
        <v>7.3</v>
      </c>
      <c r="Q159" s="164">
        <f t="shared" si="26"/>
        <v>0.43</v>
      </c>
      <c r="R159" s="147">
        <f t="shared" si="26"/>
        <v>2.8</v>
      </c>
      <c r="S159" s="146"/>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32">
        <f t="shared" si="17"/>
        <v>23081.683999999997</v>
      </c>
      <c r="AW159" s="233">
        <f t="shared" si="18"/>
        <v>0.75239413709981029</v>
      </c>
    </row>
    <row r="160" spans="1:49" ht="14.25" x14ac:dyDescent="0.2">
      <c r="A160" s="144" t="s">
        <v>257</v>
      </c>
      <c r="B160" s="145">
        <v>24351</v>
      </c>
      <c r="C160" s="144" t="s">
        <v>255</v>
      </c>
      <c r="D160" s="144" t="s">
        <v>120</v>
      </c>
      <c r="E160" s="145">
        <v>30677.65</v>
      </c>
      <c r="F160" s="129">
        <f t="shared" si="15"/>
        <v>30677.650000000005</v>
      </c>
      <c r="G160" s="144" t="s">
        <v>117</v>
      </c>
      <c r="H160" s="170">
        <f t="shared" si="16"/>
        <v>0</v>
      </c>
      <c r="I160" s="135"/>
      <c r="J160" s="146" t="s">
        <v>291</v>
      </c>
      <c r="K160" s="146" t="str">
        <f t="shared" ref="K160:R160" si="27">+K32</f>
        <v>Dwelling</v>
      </c>
      <c r="L160" s="147">
        <f t="shared" si="27"/>
        <v>0</v>
      </c>
      <c r="M160" s="147">
        <f t="shared" si="27"/>
        <v>975</v>
      </c>
      <c r="N160" s="147">
        <f t="shared" si="27"/>
        <v>0</v>
      </c>
      <c r="O160" s="147">
        <f t="shared" si="27"/>
        <v>631</v>
      </c>
      <c r="P160" s="147">
        <f t="shared" si="27"/>
        <v>7.3</v>
      </c>
      <c r="Q160" s="164">
        <f t="shared" si="27"/>
        <v>0.43</v>
      </c>
      <c r="R160" s="147">
        <f t="shared" si="27"/>
        <v>2.8</v>
      </c>
      <c r="S160" s="146"/>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32">
        <f t="shared" si="17"/>
        <v>25032.827999999998</v>
      </c>
      <c r="AW160" s="233">
        <f t="shared" si="18"/>
        <v>0.81599561896038308</v>
      </c>
    </row>
    <row r="161" spans="1:49" s="161" customFormat="1" ht="14.25" x14ac:dyDescent="0.2">
      <c r="A161" s="144" t="s">
        <v>391</v>
      </c>
      <c r="B161" s="145">
        <v>26915</v>
      </c>
      <c r="C161" s="144" t="s">
        <v>255</v>
      </c>
      <c r="D161" s="159" t="s">
        <v>120</v>
      </c>
      <c r="E161" s="160">
        <v>30677.65</v>
      </c>
      <c r="F161" s="129">
        <f t="shared" si="15"/>
        <v>30677.650000000005</v>
      </c>
      <c r="G161" s="159" t="s">
        <v>117</v>
      </c>
      <c r="H161" s="170">
        <f t="shared" si="16"/>
        <v>0</v>
      </c>
      <c r="I161" s="135"/>
      <c r="J161" s="146" t="s">
        <v>387</v>
      </c>
      <c r="K161" s="146" t="str">
        <f t="shared" ref="K161:R162" si="28">+K33</f>
        <v>Dwelling</v>
      </c>
      <c r="L161" s="147">
        <f t="shared" si="28"/>
        <v>0</v>
      </c>
      <c r="M161" s="147">
        <f t="shared" si="28"/>
        <v>1312.5</v>
      </c>
      <c r="N161" s="147">
        <f t="shared" si="28"/>
        <v>0</v>
      </c>
      <c r="O161" s="147">
        <f t="shared" si="28"/>
        <v>631</v>
      </c>
      <c r="P161" s="147">
        <f t="shared" si="28"/>
        <v>7.3</v>
      </c>
      <c r="Q161" s="164">
        <f t="shared" si="28"/>
        <v>0.43</v>
      </c>
      <c r="R161" s="147">
        <f t="shared" si="28"/>
        <v>2.8</v>
      </c>
      <c r="S161" s="149"/>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32">
        <f t="shared" si="17"/>
        <v>27668.62</v>
      </c>
      <c r="AW161" s="233">
        <f t="shared" si="18"/>
        <v>0.90191458602598296</v>
      </c>
    </row>
    <row r="162" spans="1:49" s="161" customFormat="1" ht="14.25" x14ac:dyDescent="0.2">
      <c r="A162" s="144" t="s">
        <v>383</v>
      </c>
      <c r="B162" s="145">
        <v>29480</v>
      </c>
      <c r="C162" s="144" t="s">
        <v>255</v>
      </c>
      <c r="D162" s="159" t="s">
        <v>120</v>
      </c>
      <c r="E162" s="160">
        <v>30677.65</v>
      </c>
      <c r="F162" s="129">
        <f t="shared" si="15"/>
        <v>30677.650000000005</v>
      </c>
      <c r="G162" s="159" t="s">
        <v>117</v>
      </c>
      <c r="H162" s="170">
        <f t="shared" si="16"/>
        <v>0</v>
      </c>
      <c r="I162" s="135"/>
      <c r="J162" s="146" t="s">
        <v>390</v>
      </c>
      <c r="K162" s="146" t="str">
        <f t="shared" si="28"/>
        <v>Dwelling</v>
      </c>
      <c r="L162" s="147">
        <f t="shared" si="28"/>
        <v>0</v>
      </c>
      <c r="M162" s="147">
        <f t="shared" si="28"/>
        <v>1650</v>
      </c>
      <c r="N162" s="147">
        <f t="shared" si="28"/>
        <v>0</v>
      </c>
      <c r="O162" s="147">
        <f t="shared" si="28"/>
        <v>631</v>
      </c>
      <c r="P162" s="147">
        <f t="shared" si="28"/>
        <v>7.3</v>
      </c>
      <c r="Q162" s="164">
        <f t="shared" si="28"/>
        <v>0.43</v>
      </c>
      <c r="R162" s="147">
        <f t="shared" si="28"/>
        <v>2.8</v>
      </c>
      <c r="S162" s="149"/>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32">
        <f t="shared" si="17"/>
        <v>30305.439999999999</v>
      </c>
      <c r="AW162" s="233">
        <f t="shared" si="18"/>
        <v>0.98786706282912795</v>
      </c>
    </row>
    <row r="163" spans="1:49" ht="13.5" customHeight="1" x14ac:dyDescent="0.2">
      <c r="A163" s="144" t="s">
        <v>258</v>
      </c>
      <c r="B163" s="145">
        <v>21889</v>
      </c>
      <c r="C163" s="144" t="s">
        <v>255</v>
      </c>
      <c r="D163" s="144" t="s">
        <v>120</v>
      </c>
      <c r="E163" s="145">
        <v>30677.65</v>
      </c>
      <c r="F163" s="129">
        <f t="shared" si="15"/>
        <v>30677.650000000005</v>
      </c>
      <c r="G163" s="144" t="s">
        <v>117</v>
      </c>
      <c r="H163" s="170">
        <f t="shared" si="16"/>
        <v>0</v>
      </c>
      <c r="I163" s="135"/>
      <c r="J163" s="146" t="s">
        <v>289</v>
      </c>
      <c r="K163" s="146" t="str">
        <f t="shared" ref="K163:R163" si="29">+K51</f>
        <v>Dwelling</v>
      </c>
      <c r="L163" s="147">
        <f t="shared" si="29"/>
        <v>0</v>
      </c>
      <c r="M163" s="147">
        <f t="shared" si="29"/>
        <v>650</v>
      </c>
      <c r="N163" s="147">
        <f t="shared" si="29"/>
        <v>0</v>
      </c>
      <c r="O163" s="147">
        <f t="shared" si="29"/>
        <v>631</v>
      </c>
      <c r="P163" s="147">
        <f t="shared" si="29"/>
        <v>7.3</v>
      </c>
      <c r="Q163" s="164">
        <f t="shared" si="29"/>
        <v>0.43</v>
      </c>
      <c r="R163" s="147">
        <f t="shared" si="29"/>
        <v>2.8</v>
      </c>
      <c r="S163" s="146"/>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32">
        <f t="shared" si="17"/>
        <v>22501.891999999996</v>
      </c>
      <c r="AW163" s="233">
        <f t="shared" si="18"/>
        <v>0.73349464512438189</v>
      </c>
    </row>
    <row r="164" spans="1:49" ht="14.25" x14ac:dyDescent="0.2">
      <c r="A164" s="144" t="s">
        <v>259</v>
      </c>
      <c r="B164" s="145">
        <v>22453</v>
      </c>
      <c r="C164" s="144" t="s">
        <v>255</v>
      </c>
      <c r="D164" s="144" t="s">
        <v>120</v>
      </c>
      <c r="E164" s="145">
        <v>30677.65</v>
      </c>
      <c r="F164" s="129">
        <f t="shared" si="15"/>
        <v>30677.650000000005</v>
      </c>
      <c r="G164" s="144" t="s">
        <v>117</v>
      </c>
      <c r="H164" s="170">
        <f t="shared" si="16"/>
        <v>0</v>
      </c>
      <c r="I164" s="135"/>
      <c r="J164" s="146" t="s">
        <v>290</v>
      </c>
      <c r="K164" s="146" t="str">
        <f t="shared" ref="K164:R164" si="30">+K52</f>
        <v>Dwelling</v>
      </c>
      <c r="L164" s="147">
        <f t="shared" si="30"/>
        <v>0</v>
      </c>
      <c r="M164" s="147">
        <f t="shared" si="30"/>
        <v>725</v>
      </c>
      <c r="N164" s="147">
        <f t="shared" si="30"/>
        <v>0</v>
      </c>
      <c r="O164" s="147">
        <f t="shared" si="30"/>
        <v>631</v>
      </c>
      <c r="P164" s="147">
        <f t="shared" si="30"/>
        <v>7.3</v>
      </c>
      <c r="Q164" s="164">
        <f t="shared" si="30"/>
        <v>0.43</v>
      </c>
      <c r="R164" s="147">
        <f t="shared" si="30"/>
        <v>2.8</v>
      </c>
      <c r="S164" s="146"/>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32">
        <f t="shared" si="17"/>
        <v>23081.683999999997</v>
      </c>
      <c r="AW164" s="233">
        <f t="shared" si="18"/>
        <v>0.75239413709981029</v>
      </c>
    </row>
    <row r="165" spans="1:49" ht="14.25" x14ac:dyDescent="0.2">
      <c r="A165" s="144" t="s">
        <v>260</v>
      </c>
      <c r="B165" s="145">
        <v>24351</v>
      </c>
      <c r="C165" s="144" t="s">
        <v>255</v>
      </c>
      <c r="D165" s="144" t="s">
        <v>120</v>
      </c>
      <c r="E165" s="145">
        <v>30677.65</v>
      </c>
      <c r="F165" s="129">
        <f t="shared" si="15"/>
        <v>30677.650000000005</v>
      </c>
      <c r="G165" s="144" t="s">
        <v>117</v>
      </c>
      <c r="H165" s="170">
        <f t="shared" si="16"/>
        <v>0</v>
      </c>
      <c r="I165" s="135"/>
      <c r="J165" s="146" t="s">
        <v>291</v>
      </c>
      <c r="K165" s="146" t="str">
        <f t="shared" ref="K165:R165" si="31">+K53</f>
        <v>Dwelling</v>
      </c>
      <c r="L165" s="147">
        <f t="shared" si="31"/>
        <v>0</v>
      </c>
      <c r="M165" s="147">
        <f t="shared" si="31"/>
        <v>975</v>
      </c>
      <c r="N165" s="147">
        <f t="shared" si="31"/>
        <v>0</v>
      </c>
      <c r="O165" s="147">
        <f t="shared" si="31"/>
        <v>631</v>
      </c>
      <c r="P165" s="147">
        <f t="shared" si="31"/>
        <v>7.3</v>
      </c>
      <c r="Q165" s="164">
        <f t="shared" si="31"/>
        <v>0.43</v>
      </c>
      <c r="R165" s="147">
        <f t="shared" si="31"/>
        <v>2.8</v>
      </c>
      <c r="S165" s="146"/>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32">
        <f t="shared" si="17"/>
        <v>25032.827999999998</v>
      </c>
      <c r="AW165" s="233">
        <f t="shared" si="18"/>
        <v>0.81599561896038308</v>
      </c>
    </row>
    <row r="166" spans="1:49" s="161" customFormat="1" ht="14.25" x14ac:dyDescent="0.2">
      <c r="A166" s="144" t="s">
        <v>384</v>
      </c>
      <c r="B166" s="145">
        <v>26915</v>
      </c>
      <c r="C166" s="144" t="s">
        <v>255</v>
      </c>
      <c r="D166" s="159" t="s">
        <v>120</v>
      </c>
      <c r="E166" s="160">
        <v>30677.65</v>
      </c>
      <c r="F166" s="129">
        <f t="shared" si="15"/>
        <v>30677.650000000005</v>
      </c>
      <c r="G166" s="159" t="s">
        <v>117</v>
      </c>
      <c r="H166" s="170">
        <f t="shared" si="16"/>
        <v>0</v>
      </c>
      <c r="I166" s="135"/>
      <c r="J166" s="146" t="s">
        <v>387</v>
      </c>
      <c r="K166" s="146" t="str">
        <f t="shared" ref="K166:R167" si="32">+K54</f>
        <v>Dwelling</v>
      </c>
      <c r="L166" s="147">
        <f t="shared" si="32"/>
        <v>0</v>
      </c>
      <c r="M166" s="147">
        <f t="shared" si="32"/>
        <v>1312.5</v>
      </c>
      <c r="N166" s="147">
        <f t="shared" si="32"/>
        <v>0</v>
      </c>
      <c r="O166" s="147">
        <f t="shared" si="32"/>
        <v>631</v>
      </c>
      <c r="P166" s="147">
        <f t="shared" si="32"/>
        <v>7.3</v>
      </c>
      <c r="Q166" s="164">
        <f t="shared" si="32"/>
        <v>0.43</v>
      </c>
      <c r="R166" s="147">
        <f t="shared" si="32"/>
        <v>2.8</v>
      </c>
      <c r="S166" s="149"/>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c r="AU166" s="222"/>
      <c r="AV166" s="232">
        <f t="shared" si="17"/>
        <v>27668.62</v>
      </c>
      <c r="AW166" s="233">
        <f t="shared" si="18"/>
        <v>0.90191458602598296</v>
      </c>
    </row>
    <row r="167" spans="1:49" s="161" customFormat="1" ht="14.25" x14ac:dyDescent="0.2">
      <c r="A167" s="144" t="s">
        <v>385</v>
      </c>
      <c r="B167" s="145">
        <v>29480</v>
      </c>
      <c r="C167" s="144" t="s">
        <v>255</v>
      </c>
      <c r="D167" s="159" t="s">
        <v>120</v>
      </c>
      <c r="E167" s="160">
        <v>30677.65</v>
      </c>
      <c r="F167" s="129">
        <f t="shared" si="15"/>
        <v>30677.650000000005</v>
      </c>
      <c r="G167" s="159" t="s">
        <v>117</v>
      </c>
      <c r="H167" s="170">
        <f t="shared" si="16"/>
        <v>0</v>
      </c>
      <c r="I167" s="135"/>
      <c r="J167" s="146" t="s">
        <v>390</v>
      </c>
      <c r="K167" s="146" t="str">
        <f t="shared" si="32"/>
        <v>Dwelling</v>
      </c>
      <c r="L167" s="147">
        <f t="shared" si="32"/>
        <v>0</v>
      </c>
      <c r="M167" s="147">
        <f t="shared" si="32"/>
        <v>1650</v>
      </c>
      <c r="N167" s="147">
        <f t="shared" si="32"/>
        <v>0</v>
      </c>
      <c r="O167" s="147">
        <f t="shared" si="32"/>
        <v>631</v>
      </c>
      <c r="P167" s="147">
        <f t="shared" si="32"/>
        <v>7.3</v>
      </c>
      <c r="Q167" s="164">
        <f t="shared" si="32"/>
        <v>0.43</v>
      </c>
      <c r="R167" s="147">
        <f t="shared" si="32"/>
        <v>2.8</v>
      </c>
      <c r="S167" s="149"/>
      <c r="Z167" s="222"/>
      <c r="AA167" s="222"/>
      <c r="AB167" s="222"/>
      <c r="AC167" s="222"/>
      <c r="AD167" s="222"/>
      <c r="AE167" s="222"/>
      <c r="AF167" s="222"/>
      <c r="AG167" s="222"/>
      <c r="AH167" s="222"/>
      <c r="AI167" s="222"/>
      <c r="AJ167" s="222"/>
      <c r="AK167" s="222"/>
      <c r="AL167" s="222"/>
      <c r="AM167" s="222"/>
      <c r="AN167" s="222"/>
      <c r="AO167" s="222"/>
      <c r="AP167" s="222"/>
      <c r="AQ167" s="222"/>
      <c r="AR167" s="222"/>
      <c r="AS167" s="222"/>
      <c r="AT167" s="222"/>
      <c r="AU167" s="222"/>
      <c r="AV167" s="232">
        <f t="shared" si="17"/>
        <v>30305.439999999999</v>
      </c>
      <c r="AW167" s="233">
        <f t="shared" si="18"/>
        <v>0.98786706282912795</v>
      </c>
    </row>
    <row r="168" spans="1:49" ht="14.25" x14ac:dyDescent="0.2">
      <c r="A168" s="144" t="s">
        <v>261</v>
      </c>
      <c r="B168" s="145">
        <v>149.32</v>
      </c>
      <c r="C168" s="144" t="s">
        <v>283</v>
      </c>
      <c r="D168" s="144" t="s">
        <v>143</v>
      </c>
      <c r="E168" s="145">
        <v>153.4</v>
      </c>
      <c r="F168" s="129">
        <f t="shared" si="15"/>
        <v>153.4</v>
      </c>
      <c r="G168" s="144" t="s">
        <v>99</v>
      </c>
      <c r="H168" s="170">
        <f t="shared" si="16"/>
        <v>0</v>
      </c>
      <c r="I168" s="135"/>
      <c r="J168" s="146" t="s">
        <v>261</v>
      </c>
      <c r="K168" s="146" t="s">
        <v>283</v>
      </c>
      <c r="L168" s="147">
        <v>0</v>
      </c>
      <c r="M168" s="147">
        <v>5.73</v>
      </c>
      <c r="N168" s="147">
        <v>0</v>
      </c>
      <c r="O168" s="147">
        <v>4.49</v>
      </c>
      <c r="P168" s="147">
        <v>0.12</v>
      </c>
      <c r="Q168" s="164">
        <v>1.7000000000000001E-3</v>
      </c>
      <c r="R168" s="147">
        <v>0</v>
      </c>
      <c r="S168" s="146"/>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32">
        <f t="shared" si="17"/>
        <v>153.50095999999999</v>
      </c>
      <c r="AW168" s="233">
        <f t="shared" si="18"/>
        <v>1.00065814863103</v>
      </c>
    </row>
    <row r="169" spans="1:49" ht="14.25" x14ac:dyDescent="0.2">
      <c r="A169" s="144" t="s">
        <v>263</v>
      </c>
      <c r="B169" s="145">
        <v>30.01</v>
      </c>
      <c r="C169" s="144" t="s">
        <v>283</v>
      </c>
      <c r="D169" s="144" t="s">
        <v>184</v>
      </c>
      <c r="E169" s="145">
        <v>54.8</v>
      </c>
      <c r="F169" s="129">
        <f t="shared" si="15"/>
        <v>54.8</v>
      </c>
      <c r="G169" s="144" t="s">
        <v>99</v>
      </c>
      <c r="H169" s="170">
        <f t="shared" si="16"/>
        <v>0</v>
      </c>
      <c r="I169" s="135"/>
      <c r="J169" s="146" t="s">
        <v>332</v>
      </c>
      <c r="K169" s="146" t="s">
        <v>283</v>
      </c>
      <c r="L169" s="147">
        <v>0</v>
      </c>
      <c r="M169" s="147">
        <v>1.1000000000000001</v>
      </c>
      <c r="N169" s="147">
        <v>0</v>
      </c>
      <c r="O169" s="147">
        <v>0.86</v>
      </c>
      <c r="P169" s="147">
        <v>2.7000000000000003E-2</v>
      </c>
      <c r="Q169" s="164">
        <v>0</v>
      </c>
      <c r="R169" s="147">
        <v>0</v>
      </c>
      <c r="S169" s="146"/>
      <c r="Z169" s="222"/>
      <c r="AA169" s="222"/>
      <c r="AB169" s="222"/>
      <c r="AC169" s="222"/>
      <c r="AD169" s="222"/>
      <c r="AE169" s="222"/>
      <c r="AF169" s="222"/>
      <c r="AG169" s="222"/>
      <c r="AH169" s="222"/>
      <c r="AI169" s="222"/>
      <c r="AJ169" s="222"/>
      <c r="AK169" s="222"/>
      <c r="AL169" s="222"/>
      <c r="AM169" s="222"/>
      <c r="AN169" s="222"/>
      <c r="AO169" s="222"/>
      <c r="AP169" s="222"/>
      <c r="AQ169" s="222"/>
      <c r="AR169" s="222" t="s">
        <v>434</v>
      </c>
      <c r="AS169" s="222"/>
      <c r="AT169" s="222"/>
      <c r="AU169" s="222"/>
      <c r="AV169" s="232">
        <f t="shared" si="17"/>
        <v>30.850280000000001</v>
      </c>
      <c r="AW169" s="233">
        <f t="shared" si="18"/>
        <v>0.56296131386861314</v>
      </c>
    </row>
    <row r="170" spans="1:49" ht="14.25" x14ac:dyDescent="0.2">
      <c r="A170" s="144" t="s">
        <v>262</v>
      </c>
      <c r="B170" s="145">
        <v>19.38</v>
      </c>
      <c r="C170" s="144" t="s">
        <v>283</v>
      </c>
      <c r="D170" s="144" t="s">
        <v>184</v>
      </c>
      <c r="E170" s="145">
        <v>54.8</v>
      </c>
      <c r="F170" s="129">
        <f t="shared" si="15"/>
        <v>54.8</v>
      </c>
      <c r="G170" s="144" t="s">
        <v>99</v>
      </c>
      <c r="H170" s="170">
        <f t="shared" si="16"/>
        <v>0</v>
      </c>
      <c r="I170" s="135"/>
      <c r="J170" s="146" t="s">
        <v>262</v>
      </c>
      <c r="K170" s="146" t="s">
        <v>283</v>
      </c>
      <c r="L170" s="147">
        <v>0</v>
      </c>
      <c r="M170" s="147">
        <v>0.13</v>
      </c>
      <c r="N170" s="147">
        <v>0</v>
      </c>
      <c r="O170" s="147">
        <v>0.1</v>
      </c>
      <c r="P170" s="147">
        <v>3.7999999999999999E-2</v>
      </c>
      <c r="Q170" s="164">
        <v>0</v>
      </c>
      <c r="R170" s="147">
        <v>0</v>
      </c>
      <c r="S170" s="146"/>
      <c r="Z170" s="222"/>
      <c r="AA170" s="222"/>
      <c r="AB170" s="222"/>
      <c r="AC170" s="222"/>
      <c r="AD170" s="222"/>
      <c r="AE170" s="222"/>
      <c r="AF170" s="222"/>
      <c r="AG170" s="222"/>
      <c r="AH170" s="222"/>
      <c r="AI170" s="222"/>
      <c r="AJ170" s="222"/>
      <c r="AK170" s="222"/>
      <c r="AL170" s="222"/>
      <c r="AM170" s="222"/>
      <c r="AN170" s="222"/>
      <c r="AO170" s="222"/>
      <c r="AP170" s="222"/>
      <c r="AQ170" s="222"/>
      <c r="AR170" s="222" t="s">
        <v>434</v>
      </c>
      <c r="AS170" s="222"/>
      <c r="AT170" s="222"/>
      <c r="AU170" s="222"/>
      <c r="AV170" s="232">
        <f t="shared" si="17"/>
        <v>19.922639999999998</v>
      </c>
      <c r="AW170" s="233">
        <f t="shared" si="18"/>
        <v>0.36355182481751824</v>
      </c>
    </row>
    <row r="171" spans="1:49" ht="14.25" x14ac:dyDescent="0.2">
      <c r="A171" s="144" t="s">
        <v>264</v>
      </c>
      <c r="B171" s="145" t="s">
        <v>85</v>
      </c>
      <c r="C171" s="144" t="s">
        <v>283</v>
      </c>
      <c r="D171" s="144" t="s">
        <v>109</v>
      </c>
      <c r="E171" s="145">
        <v>21.85</v>
      </c>
      <c r="F171" s="129">
        <f t="shared" si="15"/>
        <v>21.85</v>
      </c>
      <c r="G171" s="144" t="s">
        <v>99</v>
      </c>
      <c r="H171" s="170">
        <f t="shared" si="16"/>
        <v>0</v>
      </c>
      <c r="I171" s="135"/>
      <c r="J171" s="146" t="s">
        <v>264</v>
      </c>
      <c r="K171" s="146" t="s">
        <v>85</v>
      </c>
      <c r="L171" s="147">
        <v>0</v>
      </c>
      <c r="M171" s="147">
        <v>0</v>
      </c>
      <c r="N171" s="147">
        <v>0</v>
      </c>
      <c r="O171" s="147">
        <v>0</v>
      </c>
      <c r="P171" s="147">
        <v>0</v>
      </c>
      <c r="Q171" s="164">
        <v>0</v>
      </c>
      <c r="R171" s="147">
        <v>0</v>
      </c>
      <c r="S171" s="146"/>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32" t="e">
        <f t="shared" si="17"/>
        <v>#VALUE!</v>
      </c>
      <c r="AW171" s="233" t="e">
        <f t="shared" si="18"/>
        <v>#VALUE!</v>
      </c>
    </row>
    <row r="172" spans="1:49" ht="14.25" x14ac:dyDescent="0.2">
      <c r="A172" s="144" t="s">
        <v>265</v>
      </c>
      <c r="B172" s="145" t="s">
        <v>85</v>
      </c>
      <c r="C172" s="144" t="s">
        <v>283</v>
      </c>
      <c r="D172" s="144" t="s">
        <v>109</v>
      </c>
      <c r="E172" s="145">
        <v>21.85</v>
      </c>
      <c r="F172" s="129">
        <f t="shared" si="15"/>
        <v>21.85</v>
      </c>
      <c r="G172" s="144" t="s">
        <v>99</v>
      </c>
      <c r="H172" s="170">
        <f t="shared" si="16"/>
        <v>0</v>
      </c>
      <c r="I172" s="135"/>
      <c r="J172" s="148" t="s">
        <v>265</v>
      </c>
      <c r="K172" s="148" t="s">
        <v>85</v>
      </c>
      <c r="L172" s="151">
        <v>0</v>
      </c>
      <c r="M172" s="151">
        <v>0</v>
      </c>
      <c r="N172" s="151">
        <v>0</v>
      </c>
      <c r="O172" s="151">
        <v>0</v>
      </c>
      <c r="P172" s="151">
        <v>0</v>
      </c>
      <c r="Q172" s="166">
        <v>0</v>
      </c>
      <c r="R172" s="151">
        <v>0</v>
      </c>
      <c r="S172" s="148"/>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32" t="e">
        <f t="shared" si="17"/>
        <v>#VALUE!</v>
      </c>
      <c r="AW172" s="233" t="e">
        <f t="shared" si="18"/>
        <v>#VALUE!</v>
      </c>
    </row>
    <row r="173" spans="1:49" ht="14.25" x14ac:dyDescent="0.2">
      <c r="A173" s="144" t="s">
        <v>266</v>
      </c>
      <c r="B173" s="145" t="s">
        <v>85</v>
      </c>
      <c r="C173" s="144"/>
      <c r="D173" s="144" t="s">
        <v>99</v>
      </c>
      <c r="E173" s="145" t="s">
        <v>85</v>
      </c>
      <c r="F173" s="129" t="str">
        <f t="shared" si="15"/>
        <v>FPA</v>
      </c>
      <c r="G173" s="144" t="s">
        <v>117</v>
      </c>
      <c r="H173" s="170">
        <f t="shared" si="16"/>
        <v>0</v>
      </c>
      <c r="I173" s="135"/>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32" t="e">
        <f t="shared" si="17"/>
        <v>#VALUE!</v>
      </c>
      <c r="AW173" s="233" t="e">
        <f t="shared" si="18"/>
        <v>#VALUE!</v>
      </c>
    </row>
    <row r="174" spans="1:49" ht="14.25" x14ac:dyDescent="0.2">
      <c r="A174" s="152" t="s">
        <v>267</v>
      </c>
      <c r="B174" s="153" t="s">
        <v>85</v>
      </c>
      <c r="C174" s="152"/>
      <c r="D174" s="152" t="s">
        <v>99</v>
      </c>
      <c r="E174" s="153" t="s">
        <v>85</v>
      </c>
      <c r="F174" s="240" t="str">
        <f t="shared" si="15"/>
        <v>FPA</v>
      </c>
      <c r="G174" s="152" t="s">
        <v>99</v>
      </c>
      <c r="H174" s="241">
        <f t="shared" si="16"/>
        <v>0</v>
      </c>
      <c r="I174" s="135"/>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32" t="e">
        <f t="shared" si="17"/>
        <v>#VALUE!</v>
      </c>
      <c r="AW174" s="233" t="e">
        <f t="shared" si="18"/>
        <v>#VALUE!</v>
      </c>
    </row>
    <row r="175" spans="1:49" ht="14.25" x14ac:dyDescent="0.2">
      <c r="H175" s="133"/>
      <c r="I175" s="135"/>
      <c r="AU175" s="221"/>
    </row>
    <row r="176" spans="1:49" ht="14.25" x14ac:dyDescent="0.2">
      <c r="H176" s="133"/>
      <c r="I176" s="135"/>
      <c r="AU176" s="221"/>
    </row>
    <row r="177" spans="8:47" ht="14.25" x14ac:dyDescent="0.2">
      <c r="H177" s="133"/>
      <c r="I177" s="133"/>
      <c r="AU177" s="221"/>
    </row>
    <row r="178" spans="8:47" x14ac:dyDescent="0.2">
      <c r="AU178" s="221"/>
    </row>
    <row r="179" spans="8:47" x14ac:dyDescent="0.2">
      <c r="AU179" s="221"/>
    </row>
    <row r="180" spans="8:47" x14ac:dyDescent="0.2">
      <c r="AU180" s="221"/>
    </row>
    <row r="181" spans="8:47" x14ac:dyDescent="0.2">
      <c r="AU181" s="221"/>
    </row>
    <row r="182" spans="8:47" x14ac:dyDescent="0.2">
      <c r="AU182" s="221"/>
    </row>
    <row r="183" spans="8:47" x14ac:dyDescent="0.2">
      <c r="AU183" s="221"/>
    </row>
    <row r="184" spans="8:47" x14ac:dyDescent="0.2">
      <c r="AU184" s="221"/>
    </row>
    <row r="185" spans="8:47" x14ac:dyDescent="0.2">
      <c r="AU185" s="221"/>
    </row>
    <row r="186" spans="8:47" x14ac:dyDescent="0.2">
      <c r="AU186" s="221"/>
    </row>
    <row r="187" spans="8:47" x14ac:dyDescent="0.2">
      <c r="AU187" s="221"/>
    </row>
    <row r="188" spans="8:47" x14ac:dyDescent="0.2">
      <c r="AU188" s="221"/>
    </row>
    <row r="189" spans="8:47" x14ac:dyDescent="0.2">
      <c r="AU189" s="221"/>
    </row>
    <row r="190" spans="8:47" x14ac:dyDescent="0.2">
      <c r="AU190" s="221"/>
    </row>
    <row r="191" spans="8:47" x14ac:dyDescent="0.2">
      <c r="AU191" s="221"/>
    </row>
    <row r="192" spans="8:47" x14ac:dyDescent="0.2">
      <c r="AU192" s="221"/>
    </row>
    <row r="193" spans="47:47" x14ac:dyDescent="0.2">
      <c r="AU193" s="221"/>
    </row>
    <row r="194" spans="47:47" x14ac:dyDescent="0.2">
      <c r="AU194" s="221"/>
    </row>
    <row r="195" spans="47:47" x14ac:dyDescent="0.2">
      <c r="AU195" s="221"/>
    </row>
  </sheetData>
  <sheetProtection algorithmName="SHA-512" hashValue="QUxCAhCvmUJVrrW1pb6SvWYZ7Oox9l5BIP6ryNsGicB9FWbZL/fW4cYmmtPCZgsIgLcYX1Z2FhGicuyNjBgv4w==" saltValue="kN9xvGgiumizXgNQjYVDQA==" spinCount="100000" sheet="1" objects="1" scenarios="1"/>
  <autoFilter ref="Z9:AW174" xr:uid="{00000000-0001-0000-0600-000000000000}"/>
  <mergeCells count="7">
    <mergeCell ref="S4:S9"/>
    <mergeCell ref="J4:J9"/>
    <mergeCell ref="K4:K9"/>
    <mergeCell ref="L4:M4"/>
    <mergeCell ref="N4:O4"/>
    <mergeCell ref="Q4:Q9"/>
    <mergeCell ref="R4:R9"/>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2.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3.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A3201A3-4EE8-4E2D-9C48-7131392E73D6}">
  <ds:schemaRefs>
    <ds:schemaRef ds:uri="http://schemas.microsoft.com/office/2006/documentManagement/types"/>
    <ds:schemaRef ds:uri="http://purl.org/dc/dcmitype/"/>
    <ds:schemaRef ds:uri="http://schemas.microsoft.com/sharepoint/v3"/>
    <ds:schemaRef ds:uri="3a493a26-741a-42fd-8777-f88520cae55b"/>
    <ds:schemaRef ds:uri="http://purl.org/dc/terms/"/>
    <ds:schemaRef ds:uri="http://purl.org/dc/elements/1.1/"/>
    <ds:schemaRef ds:uri="http://www.w3.org/XML/1998/namespace"/>
    <ds:schemaRef ds:uri="http://schemas.openxmlformats.org/package/2006/metadata/core-properties"/>
    <ds:schemaRef ds:uri="dcf13a8c-8bd3-4ac7-8c19-6244a771e9dd"/>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Service areas</vt:lpstr>
      <vt:lpstr>Version</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